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a_delovni_zvezek" defaultThemeVersion="124226"/>
  <bookViews>
    <workbookView xWindow="-120" yWindow="-120" windowWidth="23280" windowHeight="13200" tabRatio="839"/>
  </bookViews>
  <sheets>
    <sheet name="ZDUS" sheetId="33" r:id="rId1"/>
    <sheet name="1-SzS" sheetId="18" r:id="rId2"/>
    <sheet name="2-VPS" sheetId="19" r:id="rId3"/>
    <sheet name="3-DMS" sheetId="9" r:id="rId4"/>
    <sheet name="4-RŠK" sheetId="31" r:id="rId5"/>
    <sheet name="5-FIHO-ZDUS" sheetId="17" r:id="rId6"/>
    <sheet name="33-AVP" sheetId="11" r:id="rId7"/>
    <sheet name="List1" sheetId="21" state="hidden" r:id="rId8"/>
    <sheet name="List2" sheetId="22" state="hidden" r:id="rId9"/>
    <sheet name="List3" sheetId="23" state="hidden" r:id="rId10"/>
    <sheet name="38_S2G" sheetId="25" r:id="rId11"/>
    <sheet name="39-TwistedEDU" sheetId="24" r:id="rId12"/>
    <sheet name="47-E-oskrba" sheetId="26" r:id="rId13"/>
    <sheet name="49-DigiSvet" sheetId="34" r:id="rId14"/>
    <sheet name="ZORR" sheetId="35" r:id="rId15"/>
  </sheets>
  <definedNames>
    <definedName name="_xlnm._FilterDatabase" localSheetId="0" hidden="1">ZDUS!$B$6:$C$212</definedName>
    <definedName name="_xlnm.Print_Area" localSheetId="0">ZDUS!$A$1:$J$213</definedName>
    <definedName name="Z_0AC9ACB4_9839_4BCB_B287_3C75FFB28D16_.wvu.Cols" localSheetId="0" hidden="1">ZDUS!#REF!</definedName>
    <definedName name="Z_0AC9ACB4_9839_4BCB_B287_3C75FFB28D16_.wvu.PrintArea" localSheetId="0" hidden="1">ZDUS!$A$1:$D$186</definedName>
    <definedName name="Z_0AC9ACB4_9839_4BCB_B287_3C75FFB28D16_.wvu.Rows" localSheetId="0" hidden="1">ZDUS!$106:$106</definedName>
    <definedName name="Z_2B2AB6D2_CF7D_43A5_A5B7_07D1117F7E7A_.wvu.Cols" localSheetId="0" hidden="1">ZDUS!#REF!</definedName>
    <definedName name="Z_2B2AB6D2_CF7D_43A5_A5B7_07D1117F7E7A_.wvu.PrintArea" localSheetId="0" hidden="1">ZDUS!$A$1:$D$186</definedName>
    <definedName name="Z_2B2AB6D2_CF7D_43A5_A5B7_07D1117F7E7A_.wvu.Rows" localSheetId="0" hidden="1">ZDUS!$106:$106</definedName>
  </definedNames>
  <calcPr calcId="145621"/>
  <customWorkbookViews>
    <customWorkbookView name="Mojca - Personal View" guid="{0AC9ACB4-9839-4BCB-B287-3C75FFB28D16}" mergeInterval="0" personalView="1" maximized="1" windowWidth="1276" windowHeight="606" activeSheetId="6"/>
    <customWorkbookView name="ZDUS - Osebni pogled" guid="{2B2AB6D2-CF7D-43A5-A5B7-07D1117F7E7A}" mergeInterval="0" personalView="1" maximized="1" windowWidth="1020" windowHeight="587" activeSheetId="6" showStatus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8" i="33" l="1"/>
  <c r="I139" i="33"/>
  <c r="I140" i="33"/>
  <c r="I141" i="33"/>
  <c r="I142" i="33"/>
  <c r="I143" i="33"/>
  <c r="I144" i="33"/>
  <c r="I145" i="33"/>
  <c r="I147" i="33"/>
  <c r="I148" i="33"/>
  <c r="I149" i="33"/>
  <c r="I150" i="33"/>
  <c r="I151" i="33"/>
  <c r="I137" i="33"/>
  <c r="I129" i="33"/>
  <c r="I130" i="33"/>
  <c r="I131" i="33"/>
  <c r="I132" i="33"/>
  <c r="I133" i="33"/>
  <c r="I134" i="33"/>
  <c r="I128" i="33"/>
  <c r="I118" i="33"/>
  <c r="I119" i="33"/>
  <c r="I120" i="33"/>
  <c r="I121" i="33"/>
  <c r="I122" i="33"/>
  <c r="I123" i="33"/>
  <c r="I124" i="33"/>
  <c r="I125" i="33"/>
  <c r="I117" i="33"/>
  <c r="I84" i="33"/>
  <c r="I68" i="33"/>
  <c r="I69" i="33"/>
  <c r="I70" i="33"/>
  <c r="I71" i="33"/>
  <c r="I72" i="33"/>
  <c r="I73" i="33"/>
  <c r="I75" i="33"/>
  <c r="I76" i="33"/>
  <c r="I77" i="33"/>
  <c r="I78" i="33"/>
  <c r="I79" i="33"/>
  <c r="I81" i="33"/>
  <c r="I67" i="33"/>
  <c r="I56" i="33"/>
  <c r="I57" i="33"/>
  <c r="I58" i="33"/>
  <c r="I61" i="33"/>
  <c r="I62" i="33"/>
  <c r="I64" i="33"/>
  <c r="I53" i="33"/>
  <c r="I52" i="33"/>
  <c r="I51" i="33"/>
  <c r="H52" i="33"/>
  <c r="H51" i="33"/>
  <c r="I95" i="33" l="1"/>
  <c r="I89" i="33"/>
  <c r="E22" i="11"/>
  <c r="E19" i="35" l="1"/>
  <c r="E18" i="35"/>
  <c r="E12" i="35"/>
  <c r="E10" i="35"/>
  <c r="E9" i="35"/>
  <c r="C19" i="35"/>
  <c r="D19" i="35"/>
  <c r="F28" i="19" l="1"/>
  <c r="F24" i="19"/>
  <c r="F22" i="19"/>
  <c r="D45" i="19" l="1"/>
  <c r="E29" i="19"/>
  <c r="E28" i="19"/>
  <c r="I194" i="33" l="1"/>
  <c r="I195" i="33"/>
  <c r="I196" i="33"/>
  <c r="I197" i="33"/>
  <c r="I198" i="33"/>
  <c r="I199" i="33"/>
  <c r="I200" i="33"/>
  <c r="I201" i="33"/>
  <c r="I202" i="33"/>
  <c r="I204" i="33"/>
  <c r="I205" i="33"/>
  <c r="I206" i="33"/>
  <c r="I210" i="33"/>
  <c r="I173" i="33"/>
  <c r="I174" i="33"/>
  <c r="I175" i="33"/>
  <c r="I176" i="33"/>
  <c r="I177" i="33"/>
  <c r="I178" i="33"/>
  <c r="I180" i="33"/>
  <c r="I172" i="33"/>
  <c r="I169" i="33"/>
  <c r="H169" i="33"/>
  <c r="I153" i="33"/>
  <c r="I154" i="33"/>
  <c r="I155" i="33"/>
  <c r="I156" i="33"/>
  <c r="I160" i="33"/>
  <c r="I161" i="33"/>
  <c r="I103" i="33"/>
  <c r="I104" i="33"/>
  <c r="I102" i="33"/>
  <c r="I31" i="33"/>
  <c r="I33" i="33"/>
  <c r="I34" i="33"/>
  <c r="I36" i="33"/>
  <c r="I37" i="33"/>
  <c r="I38" i="33"/>
  <c r="I39" i="33"/>
  <c r="I40" i="33"/>
  <c r="I42" i="33"/>
  <c r="I30" i="33"/>
  <c r="I8" i="33"/>
  <c r="I9" i="33"/>
  <c r="I10" i="33"/>
  <c r="I11" i="33"/>
  <c r="I12" i="33"/>
  <c r="I13" i="33"/>
  <c r="I15" i="33"/>
  <c r="I17" i="33"/>
  <c r="I18" i="33"/>
  <c r="I19" i="33"/>
  <c r="I21" i="33"/>
  <c r="I22" i="33"/>
  <c r="I24" i="33"/>
  <c r="I26" i="33"/>
  <c r="I7" i="33"/>
  <c r="G207" i="33"/>
  <c r="I207" i="33" s="1"/>
  <c r="G105" i="33" l="1"/>
  <c r="G44" i="33"/>
  <c r="I44" i="33" s="1"/>
  <c r="G110" i="33" l="1"/>
  <c r="I110" i="33" s="1"/>
  <c r="G165" i="33"/>
  <c r="G151" i="33"/>
  <c r="G158" i="33"/>
  <c r="G134" i="33" l="1"/>
  <c r="G125" i="33"/>
  <c r="G97" i="33"/>
  <c r="G92" i="33"/>
  <c r="G85" i="33"/>
  <c r="G81" i="33"/>
  <c r="G64" i="33"/>
  <c r="G58" i="33"/>
  <c r="G53" i="33"/>
  <c r="G98" i="33" s="1"/>
  <c r="G112" i="33" l="1"/>
  <c r="G167" i="33"/>
  <c r="I167" i="33" s="1"/>
  <c r="G211" i="33"/>
  <c r="F15" i="18"/>
  <c r="F16" i="18"/>
  <c r="F17" i="18"/>
  <c r="F18" i="18"/>
  <c r="F20" i="18"/>
  <c r="F14" i="18"/>
  <c r="E20" i="18"/>
  <c r="E17" i="35" l="1"/>
  <c r="D12" i="35"/>
  <c r="C12" i="35"/>
  <c r="G28" i="33" l="1"/>
  <c r="I28" i="33" s="1"/>
  <c r="H57" i="33"/>
  <c r="H61" i="33"/>
  <c r="H62" i="33"/>
  <c r="H67" i="33"/>
  <c r="H68" i="33"/>
  <c r="H69" i="33"/>
  <c r="H70" i="33"/>
  <c r="H71" i="33"/>
  <c r="H72" i="33"/>
  <c r="H73" i="33"/>
  <c r="H75" i="33"/>
  <c r="H76" i="33"/>
  <c r="H77" i="33"/>
  <c r="H78" i="33"/>
  <c r="H79" i="33"/>
  <c r="H80" i="33"/>
  <c r="H84" i="33"/>
  <c r="H88" i="33"/>
  <c r="H89" i="33"/>
  <c r="H90" i="33"/>
  <c r="H91" i="33"/>
  <c r="H95" i="33"/>
  <c r="H96" i="33"/>
  <c r="H102" i="33"/>
  <c r="H103" i="33"/>
  <c r="H104" i="33"/>
  <c r="H117" i="33"/>
  <c r="H118" i="33"/>
  <c r="H119" i="33"/>
  <c r="H121" i="33"/>
  <c r="H122" i="33"/>
  <c r="H123" i="33"/>
  <c r="H124" i="33"/>
  <c r="H128" i="33"/>
  <c r="H129" i="33"/>
  <c r="H130" i="33"/>
  <c r="H131" i="33"/>
  <c r="H132" i="33"/>
  <c r="H133" i="33"/>
  <c r="H137" i="33"/>
  <c r="H139" i="33"/>
  <c r="H140" i="33"/>
  <c r="H141" i="33"/>
  <c r="H142" i="33"/>
  <c r="H143" i="33"/>
  <c r="H144" i="33"/>
  <c r="H145" i="33"/>
  <c r="H146" i="33"/>
  <c r="H147" i="33"/>
  <c r="H149" i="33"/>
  <c r="H150" i="33"/>
  <c r="H153" i="33"/>
  <c r="H154" i="33"/>
  <c r="H155" i="33"/>
  <c r="H156" i="33"/>
  <c r="H160" i="33"/>
  <c r="H163" i="33"/>
  <c r="H166" i="33"/>
  <c r="H167" i="33"/>
  <c r="H178" i="33"/>
  <c r="H179" i="33"/>
  <c r="H180" i="33"/>
  <c r="H184" i="33"/>
  <c r="H185" i="33"/>
  <c r="H187" i="33"/>
  <c r="H188" i="33"/>
  <c r="H194" i="33"/>
  <c r="H195" i="33"/>
  <c r="H196" i="33"/>
  <c r="H198" i="33"/>
  <c r="H199" i="33"/>
  <c r="H200" i="33"/>
  <c r="H202" i="33"/>
  <c r="H203" i="33"/>
  <c r="H204" i="33"/>
  <c r="H205" i="33"/>
  <c r="H206" i="33"/>
  <c r="H207" i="33"/>
  <c r="H210" i="33"/>
  <c r="H56" i="33"/>
  <c r="H7" i="33"/>
  <c r="H8" i="33"/>
  <c r="H9" i="33"/>
  <c r="H10" i="33"/>
  <c r="H11" i="33"/>
  <c r="H12" i="33"/>
  <c r="H13" i="33"/>
  <c r="H15" i="33"/>
  <c r="H17" i="33"/>
  <c r="H18" i="33"/>
  <c r="H19" i="33"/>
  <c r="H20" i="33"/>
  <c r="H21" i="33"/>
  <c r="H22" i="33"/>
  <c r="H24" i="33"/>
  <c r="E27" i="33"/>
  <c r="E28" i="33" s="1"/>
  <c r="H28" i="33" s="1"/>
  <c r="H30" i="33"/>
  <c r="H31" i="33"/>
  <c r="H33" i="33"/>
  <c r="F209" i="33"/>
  <c r="I209" i="33" s="1"/>
  <c r="F151" i="33" l="1"/>
  <c r="F165" i="33"/>
  <c r="F158" i="33"/>
  <c r="F134" i="33"/>
  <c r="F125" i="33"/>
  <c r="F105" i="33"/>
  <c r="F97" i="33"/>
  <c r="F92" i="33"/>
  <c r="F85" i="33"/>
  <c r="F64" i="33"/>
  <c r="F58" i="33"/>
  <c r="F53" i="33"/>
  <c r="F98" i="33" l="1"/>
  <c r="I92" i="33"/>
  <c r="I97" i="33"/>
  <c r="I165" i="33"/>
  <c r="I105" i="33"/>
  <c r="I158" i="33"/>
  <c r="H34" i="33"/>
  <c r="H36" i="33"/>
  <c r="H39" i="33"/>
  <c r="H40" i="33"/>
  <c r="F45" i="33"/>
  <c r="I45" i="33" l="1"/>
  <c r="I98" i="33"/>
  <c r="F211" i="33"/>
  <c r="I211" i="33" s="1"/>
  <c r="E201" i="33"/>
  <c r="H201" i="33" s="1"/>
  <c r="E197" i="33"/>
  <c r="H197" i="33" s="1"/>
  <c r="E181" i="33"/>
  <c r="E177" i="33"/>
  <c r="H177" i="33" s="1"/>
  <c r="E175" i="33"/>
  <c r="H175" i="33" s="1"/>
  <c r="E174" i="33"/>
  <c r="H174" i="33" s="1"/>
  <c r="E173" i="33"/>
  <c r="H173" i="33" s="1"/>
  <c r="E161" i="33"/>
  <c r="E158" i="33"/>
  <c r="H158" i="33" s="1"/>
  <c r="E148" i="33"/>
  <c r="H148" i="33" s="1"/>
  <c r="E138" i="33"/>
  <c r="E134" i="33"/>
  <c r="H134" i="33" s="1"/>
  <c r="E120" i="33"/>
  <c r="E109" i="33"/>
  <c r="H109" i="33" s="1"/>
  <c r="E105" i="33"/>
  <c r="H105" i="33" s="1"/>
  <c r="E97" i="33"/>
  <c r="H97" i="33" s="1"/>
  <c r="E92" i="33"/>
  <c r="H92" i="33" s="1"/>
  <c r="E85" i="33"/>
  <c r="H85" i="33" s="1"/>
  <c r="E81" i="33"/>
  <c r="H81" i="33" s="1"/>
  <c r="E64" i="33"/>
  <c r="H64" i="33" s="1"/>
  <c r="E58" i="33"/>
  <c r="H58" i="33" s="1"/>
  <c r="E53" i="33"/>
  <c r="H53" i="33" s="1"/>
  <c r="E42" i="33"/>
  <c r="H42" i="33" s="1"/>
  <c r="E38" i="33"/>
  <c r="H38" i="33" s="1"/>
  <c r="E37" i="33"/>
  <c r="E125" i="33" l="1"/>
  <c r="H125" i="33" s="1"/>
  <c r="H120" i="33"/>
  <c r="E151" i="33"/>
  <c r="H151" i="33" s="1"/>
  <c r="H138" i="33"/>
  <c r="E165" i="33"/>
  <c r="H165" i="33" s="1"/>
  <c r="H161" i="33"/>
  <c r="F212" i="33"/>
  <c r="I212" i="33" s="1"/>
  <c r="E172" i="33"/>
  <c r="H172" i="33" s="1"/>
  <c r="E44" i="33"/>
  <c r="H44" i="33" s="1"/>
  <c r="H37" i="33"/>
  <c r="E110" i="33"/>
  <c r="H110" i="33" s="1"/>
  <c r="E98" i="33"/>
  <c r="H98" i="33" s="1"/>
  <c r="I88" i="33"/>
  <c r="I91" i="33"/>
  <c r="I96" i="33"/>
  <c r="F190" i="33"/>
  <c r="D18" i="18"/>
  <c r="D20" i="18" s="1"/>
  <c r="F21" i="34"/>
  <c r="F22" i="34"/>
  <c r="F23" i="34"/>
  <c r="F20" i="34"/>
  <c r="F25" i="19"/>
  <c r="D29" i="17"/>
  <c r="D11" i="17"/>
  <c r="K29" i="26"/>
  <c r="F24" i="18"/>
  <c r="F25" i="18"/>
  <c r="F26" i="18"/>
  <c r="F27" i="18"/>
  <c r="F28" i="18"/>
  <c r="F29" i="18"/>
  <c r="F30" i="18"/>
  <c r="F31" i="18"/>
  <c r="F32" i="18"/>
  <c r="F34" i="18"/>
  <c r="F35" i="18"/>
  <c r="F36" i="18"/>
  <c r="F37" i="18"/>
  <c r="F38" i="18"/>
  <c r="F39" i="18"/>
  <c r="F40" i="18"/>
  <c r="F42" i="18"/>
  <c r="F43" i="18"/>
  <c r="F44" i="18"/>
  <c r="F46" i="18"/>
  <c r="F47" i="18"/>
  <c r="F48" i="18"/>
  <c r="F50" i="18"/>
  <c r="F51" i="18"/>
  <c r="D28" i="19"/>
  <c r="E211" i="33" l="1"/>
  <c r="E45" i="33"/>
  <c r="H45" i="33" s="1"/>
  <c r="E112" i="33"/>
  <c r="I109" i="33"/>
  <c r="J12" i="33"/>
  <c r="F112" i="33" l="1"/>
  <c r="I112" i="33" s="1"/>
  <c r="J178" i="33"/>
  <c r="D21" i="34"/>
  <c r="D23" i="34"/>
  <c r="D22" i="34"/>
  <c r="E25" i="34" l="1"/>
  <c r="D33" i="18" l="1"/>
  <c r="F33" i="18" s="1"/>
  <c r="D49" i="18"/>
  <c r="D45" i="18"/>
  <c r="F45" i="18" s="1"/>
  <c r="D41" i="18"/>
  <c r="F41" i="18" s="1"/>
  <c r="D23" i="18"/>
  <c r="F23" i="18" s="1"/>
  <c r="D54" i="18" l="1"/>
  <c r="F54" i="18" s="1"/>
  <c r="F49" i="18"/>
  <c r="E15" i="34" l="1"/>
  <c r="D15" i="34"/>
  <c r="F12" i="34"/>
  <c r="J210" i="33"/>
  <c r="J206" i="33"/>
  <c r="J190" i="33"/>
  <c r="J162" i="33"/>
  <c r="J156" i="33"/>
  <c r="J155" i="33"/>
  <c r="J154" i="33"/>
  <c r="J153" i="33"/>
  <c r="J150" i="33"/>
  <c r="J149" i="33"/>
  <c r="J148" i="33"/>
  <c r="J147" i="33"/>
  <c r="J145" i="33"/>
  <c r="J144" i="33"/>
  <c r="J143" i="33"/>
  <c r="J142" i="33"/>
  <c r="J141" i="33"/>
  <c r="J140" i="33"/>
  <c r="J139" i="33"/>
  <c r="J138" i="33"/>
  <c r="J137" i="33"/>
  <c r="J132" i="33"/>
  <c r="J133" i="33"/>
  <c r="J131" i="33"/>
  <c r="J130" i="33"/>
  <c r="J129" i="33"/>
  <c r="J128" i="33"/>
  <c r="J124" i="33"/>
  <c r="J122" i="33"/>
  <c r="J117" i="33"/>
  <c r="J107" i="33"/>
  <c r="J101" i="33"/>
  <c r="J96" i="33"/>
  <c r="J91" i="33"/>
  <c r="J84" i="33"/>
  <c r="J80" i="33"/>
  <c r="J79" i="33"/>
  <c r="J77" i="33"/>
  <c r="J76" i="33"/>
  <c r="J75" i="33"/>
  <c r="J74" i="33"/>
  <c r="J73" i="33"/>
  <c r="J72" i="33"/>
  <c r="J71" i="33"/>
  <c r="J70" i="33"/>
  <c r="J68" i="33"/>
  <c r="J67" i="33"/>
  <c r="J63" i="33"/>
  <c r="J62" i="33"/>
  <c r="J61" i="33"/>
  <c r="J57" i="33"/>
  <c r="J56" i="33"/>
  <c r="J52" i="33"/>
  <c r="J51" i="33"/>
  <c r="J43" i="33"/>
  <c r="J35" i="33"/>
  <c r="J34" i="33"/>
  <c r="J33" i="33"/>
  <c r="J32" i="33"/>
  <c r="J39" i="33"/>
  <c r="J40" i="33"/>
  <c r="J27" i="33"/>
  <c r="J23" i="33"/>
  <c r="J22" i="33"/>
  <c r="J21" i="33"/>
  <c r="J20" i="33"/>
  <c r="J19" i="33"/>
  <c r="J18" i="33"/>
  <c r="J17" i="33"/>
  <c r="J15" i="33"/>
  <c r="J14" i="33"/>
  <c r="J10" i="33"/>
  <c r="J9" i="33"/>
  <c r="J8" i="33"/>
  <c r="J7" i="33"/>
  <c r="E38" i="31"/>
  <c r="D38" i="31"/>
  <c r="F21" i="31"/>
  <c r="F22" i="31"/>
  <c r="F23" i="31"/>
  <c r="F24" i="31"/>
  <c r="F26" i="31"/>
  <c r="F27" i="31"/>
  <c r="F28" i="31"/>
  <c r="F29" i="31"/>
  <c r="F30" i="31"/>
  <c r="F31" i="31"/>
  <c r="F33" i="31"/>
  <c r="F34" i="31"/>
  <c r="F35" i="31"/>
  <c r="F36" i="31"/>
  <c r="F37" i="31"/>
  <c r="F20" i="31"/>
  <c r="E15" i="31"/>
  <c r="D15" i="31"/>
  <c r="F12" i="31"/>
  <c r="F11" i="17"/>
  <c r="F29" i="17"/>
  <c r="F23" i="26"/>
  <c r="F24" i="26"/>
  <c r="F21" i="26"/>
  <c r="E25" i="26"/>
  <c r="D25" i="26"/>
  <c r="E16" i="26"/>
  <c r="D16" i="26"/>
  <c r="F13" i="26"/>
  <c r="F20" i="9"/>
  <c r="F22" i="9"/>
  <c r="F24" i="9"/>
  <c r="F26" i="9"/>
  <c r="F28" i="9"/>
  <c r="F29" i="9"/>
  <c r="F19" i="9"/>
  <c r="F11" i="9"/>
  <c r="F20" i="11"/>
  <c r="F21" i="11"/>
  <c r="F19" i="11"/>
  <c r="F11" i="11"/>
  <c r="F22" i="24"/>
  <c r="F14" i="24"/>
  <c r="F22" i="25"/>
  <c r="F23" i="25"/>
  <c r="F19" i="25"/>
  <c r="E27" i="25"/>
  <c r="F27" i="25" s="1"/>
  <c r="F11" i="25"/>
  <c r="D27" i="25"/>
  <c r="F17" i="24"/>
  <c r="D17" i="24"/>
  <c r="G15" i="24" s="1"/>
  <c r="F25" i="26" l="1"/>
  <c r="F16" i="26"/>
  <c r="J97" i="33"/>
  <c r="J189" i="33"/>
  <c r="J186" i="33"/>
  <c r="J179" i="33"/>
  <c r="J183" i="33"/>
  <c r="J85" i="33"/>
  <c r="J64" i="33"/>
  <c r="J173" i="33"/>
  <c r="J134" i="33"/>
  <c r="J158" i="33"/>
  <c r="J31" i="33"/>
  <c r="J58" i="33"/>
  <c r="J165" i="33"/>
  <c r="J182" i="33"/>
  <c r="J30" i="33"/>
  <c r="J29" i="33" s="1"/>
  <c r="J188" i="33"/>
  <c r="J146" i="33"/>
  <c r="J151" i="33" s="1"/>
  <c r="J92" i="33"/>
  <c r="J53" i="33"/>
  <c r="J95" i="33"/>
  <c r="J11" i="33"/>
  <c r="J69" i="33"/>
  <c r="J164" i="33"/>
  <c r="J175" i="33"/>
  <c r="J16" i="33"/>
  <c r="J78" i="33"/>
  <c r="J81" i="33"/>
  <c r="J13" i="33"/>
  <c r="J119" i="33"/>
  <c r="J160" i="33"/>
  <c r="J185" i="33"/>
  <c r="J180" i="33"/>
  <c r="F38" i="31"/>
  <c r="F15" i="31"/>
  <c r="J109" i="33" l="1"/>
  <c r="J184" i="33"/>
  <c r="J172" i="33"/>
  <c r="J187" i="33"/>
  <c r="J102" i="33"/>
  <c r="J6" i="33"/>
  <c r="J45" i="33" s="1"/>
  <c r="J98" i="33"/>
  <c r="J181" i="33" l="1"/>
  <c r="J112" i="33"/>
  <c r="J105" i="33"/>
  <c r="E30" i="9"/>
  <c r="D24" i="24" l="1"/>
  <c r="E14" i="25"/>
  <c r="D14" i="25"/>
  <c r="E24" i="24"/>
  <c r="F24" i="24" l="1"/>
  <c r="F14" i="25"/>
  <c r="E26" i="21"/>
  <c r="D26" i="21"/>
  <c r="E17" i="21"/>
  <c r="D17" i="21"/>
  <c r="D28" i="21" l="1"/>
  <c r="E28" i="21"/>
  <c r="D30" i="9" l="1"/>
  <c r="F30" i="9" s="1"/>
  <c r="F17" i="19" l="1"/>
  <c r="E17" i="19"/>
  <c r="D14" i="17"/>
  <c r="F14" i="17" l="1"/>
  <c r="D22" i="11"/>
  <c r="F22" i="11" s="1"/>
  <c r="E14" i="11"/>
  <c r="D14" i="11"/>
  <c r="E14" i="9" l="1"/>
  <c r="D14" i="9"/>
  <c r="D25" i="34"/>
  <c r="F14" i="9" l="1"/>
  <c r="F25" i="34"/>
  <c r="J125" i="33"/>
  <c r="E209" i="33" l="1"/>
  <c r="H209" i="33" s="1"/>
  <c r="J167" i="33"/>
  <c r="J169" i="33" s="1"/>
  <c r="J209" i="33" l="1"/>
  <c r="J211" i="33" l="1"/>
</calcChain>
</file>

<file path=xl/sharedStrings.xml><?xml version="1.0" encoding="utf-8"?>
<sst xmlns="http://schemas.openxmlformats.org/spreadsheetml/2006/main" count="754" uniqueCount="363">
  <si>
    <t>Računovodske storitve</t>
  </si>
  <si>
    <t>Reprezentanca</t>
  </si>
  <si>
    <t>ZVEZA DRUŠTEV UPOKOJENCEV SLOVENIJE</t>
  </si>
  <si>
    <t>SKUPAJ PRIHODKI</t>
  </si>
  <si>
    <t>Prihodki od prodaje tiskovin</t>
  </si>
  <si>
    <t>Poštne storitve</t>
  </si>
  <si>
    <t>Bančni stroški</t>
  </si>
  <si>
    <t>Rekreativno srečanje upokojencev v PZDU</t>
  </si>
  <si>
    <t xml:space="preserve">Stroški dela </t>
  </si>
  <si>
    <t>Drugi materialni stroški in storitve</t>
  </si>
  <si>
    <t>Skupaj potni stroški</t>
  </si>
  <si>
    <t xml:space="preserve">PRIHODKI    </t>
  </si>
  <si>
    <t>Stroški najema in vzdrževanja prostorov</t>
  </si>
  <si>
    <t>Administrativni stroški</t>
  </si>
  <si>
    <t>Amortizacija</t>
  </si>
  <si>
    <t>Skupaj administrativni stroški</t>
  </si>
  <si>
    <t>Skupaj stroški dela</t>
  </si>
  <si>
    <t>Investicije</t>
  </si>
  <si>
    <t>Socialna dejavnost PZDU in DU</t>
  </si>
  <si>
    <t>Ostale dejavnosti</t>
  </si>
  <si>
    <t>Skupaj rekreativna dejavnost</t>
  </si>
  <si>
    <t>Skupaj športne aktivnosti</t>
  </si>
  <si>
    <t>Skupaj socialna dejavnost</t>
  </si>
  <si>
    <t>Skupaj stroški rednih aktivnosti PZDU in DU</t>
  </si>
  <si>
    <t>Delo stanovanjskih komisij</t>
  </si>
  <si>
    <t xml:space="preserve">Komisije in strokovni svet </t>
  </si>
  <si>
    <t>Skupaj izobraževalna dejavnost</t>
  </si>
  <si>
    <t>Skupaj ostale dejavnosti</t>
  </si>
  <si>
    <t xml:space="preserve">Nabava literature, časopisi </t>
  </si>
  <si>
    <t xml:space="preserve">Telefon, internet </t>
  </si>
  <si>
    <t>Zunanja finančna revizija</t>
  </si>
  <si>
    <t xml:space="preserve">Vzdrževanje (snaga, plin, čistila, varovanje, OS) </t>
  </si>
  <si>
    <t>Materialni stroški in stroški storitev</t>
  </si>
  <si>
    <t xml:space="preserve">Stroški ogrevanja, elektrike </t>
  </si>
  <si>
    <t xml:space="preserve">Najemnina in zavarovanje </t>
  </si>
  <si>
    <t xml:space="preserve">Članarina </t>
  </si>
  <si>
    <t>Potni stroški in z njimi povezani stroški</t>
  </si>
  <si>
    <t>Dividenda Delavska hranilnica</t>
  </si>
  <si>
    <t>Prihodek FIHO za delovanje ZDUS</t>
  </si>
  <si>
    <t>Izdajateljska dejavnost ZDUS</t>
  </si>
  <si>
    <t>Razlika med prihodki in odhodki</t>
  </si>
  <si>
    <t>Prihodek FIHO za investicije</t>
  </si>
  <si>
    <t>Investicije skupaj</t>
  </si>
  <si>
    <t>Skupaj projekti</t>
  </si>
  <si>
    <t>Nabava tiskovin za prodajo in poštn.</t>
  </si>
  <si>
    <t>od tega ostali stroški</t>
  </si>
  <si>
    <t>Investicije na državni ravni (FIHO)</t>
  </si>
  <si>
    <t>Ostalo</t>
  </si>
  <si>
    <t>Skupaj ostalo</t>
  </si>
  <si>
    <t>Skupaj najem in vzdrževanje</t>
  </si>
  <si>
    <t>Potni stroški ekspertov</t>
  </si>
  <si>
    <t>Prihodki od oglaševanja in promocije</t>
  </si>
  <si>
    <t xml:space="preserve">Projekti JSKD </t>
  </si>
  <si>
    <t>01</t>
  </si>
  <si>
    <t xml:space="preserve">Administratorka </t>
  </si>
  <si>
    <t>Odhodki DU-jem za pridobivanje novih kartic Diners</t>
  </si>
  <si>
    <t>od tega stroški dela</t>
  </si>
  <si>
    <t xml:space="preserve">Prihodek iz naslova donacij pravnih oseb </t>
  </si>
  <si>
    <t>Pisarniški in potrošni material, fotokopiranje</t>
  </si>
  <si>
    <r>
      <t xml:space="preserve">Aktivno državljanstvo </t>
    </r>
    <r>
      <rPr>
        <sz val="10"/>
        <rFont val="Arial CE"/>
        <charset val="238"/>
      </rPr>
      <t>(zakonodajne pobude)</t>
    </r>
  </si>
  <si>
    <t>Dan ZDUS</t>
  </si>
  <si>
    <t>Promocija ZDUS</t>
  </si>
  <si>
    <t>Izobraževanja društev upokojencev</t>
  </si>
  <si>
    <t xml:space="preserve">Drugo (članarine, takse, odpisi...) </t>
  </si>
  <si>
    <t>Upravni odbor, Nadzorni odbor in Častno razsodišče</t>
  </si>
  <si>
    <t>Zbor članov ZDUS</t>
  </si>
  <si>
    <t>Nagrade prostovoljcem ZDUS</t>
  </si>
  <si>
    <t>Kebetova ulica 9</t>
  </si>
  <si>
    <t>1000 Ljubljana</t>
  </si>
  <si>
    <t>Postavka fin.načrta</t>
  </si>
  <si>
    <t xml:space="preserve">PRIHODKI </t>
  </si>
  <si>
    <t xml:space="preserve">SKUPNO </t>
  </si>
  <si>
    <t xml:space="preserve">ODHODKI </t>
  </si>
  <si>
    <t>Skupni stroški projekta</t>
  </si>
  <si>
    <t>Razlika</t>
  </si>
  <si>
    <t>SM 3</t>
  </si>
  <si>
    <t>DNEVI MEDGENERACIJSKEGA SOŽITJA</t>
  </si>
  <si>
    <t>Stroški dela</t>
  </si>
  <si>
    <t>Potni stroški organov DMS (seje)</t>
  </si>
  <si>
    <t>Potni stroški izvajalcev programov oz. nastopajočih</t>
  </si>
  <si>
    <t>Stroški pogostitev izvajalcev oz. nastopajočih</t>
  </si>
  <si>
    <t>Stroški fotografskih storitev</t>
  </si>
  <si>
    <t>Stroški SAZAS, IPF</t>
  </si>
  <si>
    <t>Stroški najema prostorov in opreme</t>
  </si>
  <si>
    <t>Stroški promocije</t>
  </si>
  <si>
    <t>SM 33</t>
  </si>
  <si>
    <t>Stroški blaga in storitev</t>
  </si>
  <si>
    <t>Neposredni stroški za izvajalce</t>
  </si>
  <si>
    <t>Delovanje RŠK komisij</t>
  </si>
  <si>
    <t>05</t>
  </si>
  <si>
    <t>SM 34</t>
  </si>
  <si>
    <t>Prihodek za projekt</t>
  </si>
  <si>
    <t>Stroški dela in organizacija RŠK</t>
  </si>
  <si>
    <t>Finančni načrt 2022</t>
  </si>
  <si>
    <t>SM 5</t>
  </si>
  <si>
    <t>FIHO ZA DELOVANJE ZDUS</t>
  </si>
  <si>
    <t>v EUR</t>
  </si>
  <si>
    <t>SM 1</t>
  </si>
  <si>
    <t>SM 2</t>
  </si>
  <si>
    <t>Vplačani prispevek sklada VPS (11,65 EUR)</t>
  </si>
  <si>
    <t>Obresti na vezana sredstva</t>
  </si>
  <si>
    <t>SKUPAJ prihodki</t>
  </si>
  <si>
    <t>VPLAČILA IN PRIHODKI SKUPAJ</t>
  </si>
  <si>
    <t xml:space="preserve">Izplačilo posmrtnin </t>
  </si>
  <si>
    <t>Stroški provizij bank</t>
  </si>
  <si>
    <t>Potni stroški</t>
  </si>
  <si>
    <t xml:space="preserve">Razni drugi stroški </t>
  </si>
  <si>
    <t>Stroški upravljanja (telefoni, najemnina...)</t>
  </si>
  <si>
    <t>SKUPNI STROŠKI DELOVANJA SKLADA</t>
  </si>
  <si>
    <t xml:space="preserve">IZPLAČILA IN ODHODKI SKUPAJ </t>
  </si>
  <si>
    <t>SKLAD Vzajemna samopomoč</t>
  </si>
  <si>
    <t>Zunanje storitve</t>
  </si>
  <si>
    <t>IKT oprema</t>
  </si>
  <si>
    <t>Posredni stroški</t>
  </si>
  <si>
    <t>37</t>
  </si>
  <si>
    <t xml:space="preserve"> </t>
  </si>
  <si>
    <t>Indeks FN/Realizacija</t>
  </si>
  <si>
    <t>Trajanje projekta:  1.1.2022-30.4.2024</t>
  </si>
  <si>
    <t>SM 38</t>
  </si>
  <si>
    <t>Usposabljanje v tujini</t>
  </si>
  <si>
    <t>Multiplier event</t>
  </si>
  <si>
    <t>SM 39</t>
  </si>
  <si>
    <t>Stroški dela Researcher, Teachers, Trainers PR4</t>
  </si>
  <si>
    <t>Stroški študentskega dela - pogodbeno delo</t>
  </si>
  <si>
    <t xml:space="preserve">bonus račun </t>
  </si>
  <si>
    <t>Dnevi medgeneracijskega sožitja - RŠK</t>
  </si>
  <si>
    <t>Promocija zdravja na delovnem mestu</t>
  </si>
  <si>
    <t>Program Starejši za starejše</t>
  </si>
  <si>
    <t>Šport na državnem nivoju (DŠI)</t>
  </si>
  <si>
    <t>Šport v PZDU (PŠI)</t>
  </si>
  <si>
    <t>Srečanja s predsedniki PZDU</t>
  </si>
  <si>
    <t>Kolektivno letovanje v hotelu Delfin</t>
  </si>
  <si>
    <t>nakazila DU</t>
  </si>
  <si>
    <t>indeks 2023</t>
  </si>
  <si>
    <t>Osnovna sredstva ZDUS</t>
  </si>
  <si>
    <t xml:space="preserve">DH - vezava </t>
  </si>
  <si>
    <t xml:space="preserve">Strokovni delavci </t>
  </si>
  <si>
    <t>Finančni načrt 2024</t>
  </si>
  <si>
    <t>Prihodek Urad za Slovence v zamejstvu</t>
  </si>
  <si>
    <t>Projekt Starejši pešci varni v prometu - AVP</t>
  </si>
  <si>
    <t>Projekt Erasmus+ TwistedEDU</t>
  </si>
  <si>
    <t>Projekt  Erasmus+ STRONGER2GETHER</t>
  </si>
  <si>
    <t>Projekt Digitalno vključeni - MJU</t>
  </si>
  <si>
    <t>Projekt E- oskrba na daljavo - MSP</t>
  </si>
  <si>
    <t>Projekt E-oskrba - dodatna sredstva TS</t>
  </si>
  <si>
    <t>Projekt E-oskrba za varno bivanje na domu - MZ</t>
  </si>
  <si>
    <t>Prihodki tujih institucij za mednarodne aktivnosti</t>
  </si>
  <si>
    <t>07</t>
  </si>
  <si>
    <t>04</t>
  </si>
  <si>
    <t>03</t>
  </si>
  <si>
    <t>02</t>
  </si>
  <si>
    <t>Promocija RŠK</t>
  </si>
  <si>
    <t>Pokrajinska srečanja pevskih zborov DU Slovenije</t>
  </si>
  <si>
    <t>Državno srečanje pevskih zborov DU Slovenije</t>
  </si>
  <si>
    <t>Bralno-literarne aktivnosti DU</t>
  </si>
  <si>
    <t>Likovna kolonija ZDUS</t>
  </si>
  <si>
    <t>Mednarodno RŠK sodelovanje DU</t>
  </si>
  <si>
    <t>Rokodelske aktivnosti Komisije za tehnično kulturo</t>
  </si>
  <si>
    <t>Rokodelske delavnice Delfin - Urad za Slovence v zamejstvu</t>
  </si>
  <si>
    <t>3102</t>
  </si>
  <si>
    <t>PZDU delovanje iz dividende hotela Delfin</t>
  </si>
  <si>
    <t>PZDU in DU - organizacija RŠK dejavnosti</t>
  </si>
  <si>
    <t>3156</t>
  </si>
  <si>
    <t>40</t>
  </si>
  <si>
    <t>47</t>
  </si>
  <si>
    <t>Realizacija 2024</t>
  </si>
  <si>
    <t xml:space="preserve">Stroški prostovoljskega dela </t>
  </si>
  <si>
    <t>Materialni stroški (priznanja, cvetje, letak)</t>
  </si>
  <si>
    <t xml:space="preserve">Dnevi medgeneracijskega sožitja </t>
  </si>
  <si>
    <t>STAREJŠI PEŠCI VARNI V PROMETU</t>
  </si>
  <si>
    <t>VZAJEMNI POSMRTNINSKI SKLAD</t>
  </si>
  <si>
    <t>Delovanje Vzajemnega posmrtninskega sklada (VPS)</t>
  </si>
  <si>
    <t>PROJEKT ERASMUS+ TWISTED-EDU</t>
  </si>
  <si>
    <r>
      <t>Trajanje projekta: 28.02. 2022 -</t>
    </r>
    <r>
      <rPr>
        <b/>
        <sz val="12"/>
        <color rgb="FFFF0000"/>
        <rFont val="Arial CE"/>
        <charset val="238"/>
      </rPr>
      <t xml:space="preserve"> 27. 2. 2024</t>
    </r>
  </si>
  <si>
    <t>Zadnji obrok se izplača po odobritvi končnega poročila</t>
  </si>
  <si>
    <t>za obdobje ( - februar 2024)</t>
  </si>
  <si>
    <t>PROJEKT ERASMUS+ STRONGER2GETHER</t>
  </si>
  <si>
    <t>Stroški dela (management)</t>
  </si>
  <si>
    <t>Stroški dela PR1</t>
  </si>
  <si>
    <t>Stroški dela PR2</t>
  </si>
  <si>
    <t>Stroški dela PR3</t>
  </si>
  <si>
    <t>Stroški dela PR4</t>
  </si>
  <si>
    <t>Trajanje projekta: 1. 1. 2024 - 30. 11. 2024</t>
  </si>
  <si>
    <r>
      <t xml:space="preserve">Trajanje projekta:  1. 1. 2022 - </t>
    </r>
    <r>
      <rPr>
        <b/>
        <sz val="12"/>
        <color rgb="FFFF0000"/>
        <rFont val="Arial CE"/>
        <charset val="238"/>
      </rPr>
      <t>30. 04. 2024</t>
    </r>
  </si>
  <si>
    <t>Postavka FN</t>
  </si>
  <si>
    <t>Dogodek: 12. - 13. 6. 2024</t>
  </si>
  <si>
    <t>SM 47</t>
  </si>
  <si>
    <t>Trajanje projekta:  1. 10. 2023 - 30. 6. 2025</t>
  </si>
  <si>
    <t>Prenos sredstev iz leta 2023</t>
  </si>
  <si>
    <t>in 11.000 EUR po FN projekta za leto 2024</t>
  </si>
  <si>
    <t>Stroški dela zaposlenih</t>
  </si>
  <si>
    <t>Stroški prostovoljcev na ravni ZDUS</t>
  </si>
  <si>
    <t>Nakazila DU (stroški vključevanja uporabnikov)</t>
  </si>
  <si>
    <t>Režijski stroški</t>
  </si>
  <si>
    <t>PROJEKT E-OSKRBA NA DALJAVO - MSP</t>
  </si>
  <si>
    <t>Stroški dela zunanjih izvajalcev (zdravstveno varstvo)</t>
  </si>
  <si>
    <t>SM 4</t>
  </si>
  <si>
    <t>Trajanje projekta: 1. 1. 2024 - 31. 12. 2024</t>
  </si>
  <si>
    <t>Vir financiranja: Javni razpis ZPIZ</t>
  </si>
  <si>
    <t xml:space="preserve">PROGRAMI RŠK - REKREACIJA, ŠPORT, KULTURA </t>
  </si>
  <si>
    <t>Prihodki stanovanjska komisija</t>
  </si>
  <si>
    <t>Prihodki za Dneve medgeneracijskega sožitja</t>
  </si>
  <si>
    <t>SKUPAJ PRIHODKI BREZ PROGRAMOV in PROJEKTOV</t>
  </si>
  <si>
    <t xml:space="preserve">Prihodek od kartice Diners </t>
  </si>
  <si>
    <t>Kiparska delavnica ZDUS</t>
  </si>
  <si>
    <t>Dramska delavnica ZDUS</t>
  </si>
  <si>
    <t>STROŠKOVNA MESTA</t>
  </si>
  <si>
    <t>PZDU: delovanje in organizacija RŠK dejavnosti</t>
  </si>
  <si>
    <t>Sredstva za PZDU skupaj</t>
  </si>
  <si>
    <t>RŠK - Rekreativna dejavnost</t>
  </si>
  <si>
    <t>RŠK - Športne aktivnosti društev</t>
  </si>
  <si>
    <t>RŠK - Kulturne in tehnično-kulturne aktivnosti društev</t>
  </si>
  <si>
    <t>Skupaj kulturna in tehnično-kulturna aktivnost</t>
  </si>
  <si>
    <t>DIREKTNI STROŠKI PROGRAMOV NA PZDU in v DU</t>
  </si>
  <si>
    <t xml:space="preserve">Potni stroški za mednarodne aktivnosti </t>
  </si>
  <si>
    <t>SKUPAJ STROŠKI NA DRŽAVNI RAVNI</t>
  </si>
  <si>
    <t>Projekt E-oskrba na daljavo</t>
  </si>
  <si>
    <t>Projekt E-oskrba za varno bivanje na domu</t>
  </si>
  <si>
    <t>PROGRAM STAREJŠI ZA STAREJŠE</t>
  </si>
  <si>
    <t>ODHODKI</t>
  </si>
  <si>
    <t>Skupaj</t>
  </si>
  <si>
    <t>3/2</t>
  </si>
  <si>
    <t>SKUPAJ PRIHODKI PROGRAMI in PROJEKTI</t>
  </si>
  <si>
    <t>STROŠKI NA DRŽAVNI RAVNI</t>
  </si>
  <si>
    <t>Program ZORR</t>
  </si>
  <si>
    <t>Projekt Potovanje skozi digitalni svet - MDP</t>
  </si>
  <si>
    <t>Program nalog po ZORR - MGTŠ</t>
  </si>
  <si>
    <t xml:space="preserve">Projekt Potovanje skozi digitalni svet </t>
  </si>
  <si>
    <t>MDDSZ</t>
  </si>
  <si>
    <t>FIHO</t>
  </si>
  <si>
    <t>MOL</t>
  </si>
  <si>
    <t>Ostali financerji (Telekom, Krka, Lek)</t>
  </si>
  <si>
    <t>Lastna udeležba ZDUS</t>
  </si>
  <si>
    <t>Stroški dela - MDDSZ</t>
  </si>
  <si>
    <t>Materialni stroški - MDDSZ</t>
  </si>
  <si>
    <t>Stroški prostovoljcev (vodstvo programa SzS, PKOO, izobraževalci in delovna telesa) - MDDSZ</t>
  </si>
  <si>
    <t>Letno izobraževanje v Izoli  in druga izobraževanja prostovoljcev - MDDSZ</t>
  </si>
  <si>
    <t>Pokrajinska srečanja - MDDSZ</t>
  </si>
  <si>
    <t>Nagrade, NULS in ostali stroški - MDDSZ</t>
  </si>
  <si>
    <t>Dotacije - MDDSZ</t>
  </si>
  <si>
    <t>Režijski stroški - MDDSZ</t>
  </si>
  <si>
    <t>Drugi materialni stroški - MDDSZ</t>
  </si>
  <si>
    <t>Izvajanje programa - Dotacije - FIHO</t>
  </si>
  <si>
    <t>Izobraževanje - FIHO</t>
  </si>
  <si>
    <t>Vnos in obdelava podatkov - FIHO</t>
  </si>
  <si>
    <t xml:space="preserve">Računalniški program </t>
  </si>
  <si>
    <t>Izdaja didaktičnih gradiv - FIHO</t>
  </si>
  <si>
    <t>Tisk gradiv</t>
  </si>
  <si>
    <t>Priprava in oblikovanje zbornika, poštnina</t>
  </si>
  <si>
    <t>Dotacije - MOL</t>
  </si>
  <si>
    <t>Materialni stroški - MOL</t>
  </si>
  <si>
    <t>Režijski stroški - MOL</t>
  </si>
  <si>
    <t>Računalniški program - Ostali financerji</t>
  </si>
  <si>
    <t>Režijski stroški - Ostali financerji</t>
  </si>
  <si>
    <t>Dotacije - Ostali financerji</t>
  </si>
  <si>
    <t>Stroški dela - ZDUS</t>
  </si>
  <si>
    <t>Režijski stroški - ZDUS</t>
  </si>
  <si>
    <t>SKUPAJ</t>
  </si>
  <si>
    <t>PROJEKT POTOVANJE SKOZI DIGITALNI SVET - MDP</t>
  </si>
  <si>
    <t>Trajanje projekta: 1. 7. 2024 - 30. 11. 2025</t>
  </si>
  <si>
    <t>Projekt TwistedEDU - Erasmus+</t>
  </si>
  <si>
    <t>PRIHODKI TEKOČI PROGRAMI in PROJEKTI</t>
  </si>
  <si>
    <t xml:space="preserve">Projekti po naročilnicah MGTŠ </t>
  </si>
  <si>
    <t>Drugi poslovni prihodki (za pretekle zaključene projekte)</t>
  </si>
  <si>
    <t>Prihodki od sponzorjev - Zavarovalnica Triglav in drugi</t>
  </si>
  <si>
    <t>Projekt Strong2gether</t>
  </si>
  <si>
    <t>Projekt TwistedEDU</t>
  </si>
  <si>
    <t>Projekt Digitalno vključeni</t>
  </si>
  <si>
    <t>Projekt Strong2gether - Erasmus+</t>
  </si>
  <si>
    <t>Izobraževalna in informativna dejavnost</t>
  </si>
  <si>
    <t>Stroški avtorskega dela (ZDUS Plus)</t>
  </si>
  <si>
    <t>Vzdrževanje informacijskega sistema in spletne strani</t>
  </si>
  <si>
    <t>Stroški delovanja, pokriti iz FIHO</t>
  </si>
  <si>
    <t>Projekti naročilnice MGTŠ</t>
  </si>
  <si>
    <t>Projekt Starejši pešci varni v prometu</t>
  </si>
  <si>
    <t>od tega 2.000 EUR prihodek 2024</t>
  </si>
  <si>
    <t>Drugi poslovni prihodki</t>
  </si>
  <si>
    <t>Projekti Urad za Slovence v zamejstvu</t>
  </si>
  <si>
    <t>od tega režijski stroški</t>
  </si>
  <si>
    <t>Sredstva za RŠK dejavnost - JR ZPIZ</t>
  </si>
  <si>
    <t>Direktni stroški projekta E-oskrba na daljavo: nakazila DU</t>
  </si>
  <si>
    <t>Direktni stroški projekta Potovanje skozi digitalni svet</t>
  </si>
  <si>
    <t>DIREKTNI STROŠKI PROGRAMOV in PROJEKTOV NA DRŽAVNI RAVNI</t>
  </si>
  <si>
    <t>4002-4003</t>
  </si>
  <si>
    <t>Začetno stanje sklada na dan 1.1.2024</t>
  </si>
  <si>
    <t xml:space="preserve">Stroški dela: tajnik ZDUS </t>
  </si>
  <si>
    <t xml:space="preserve">Stroški vzdrževanja info sistema in spletne strani </t>
  </si>
  <si>
    <t xml:space="preserve">Stroški najemnine </t>
  </si>
  <si>
    <t xml:space="preserve">Stroški računovodskih storitev </t>
  </si>
  <si>
    <t xml:space="preserve">Stroški vzdrževanja </t>
  </si>
  <si>
    <t xml:space="preserve">Stroški telefona in interneta </t>
  </si>
  <si>
    <t xml:space="preserve">Stroški pisarniškega in potrošnega materiala </t>
  </si>
  <si>
    <t xml:space="preserve">Stroški ogrevanja in elektrike </t>
  </si>
  <si>
    <t>10105, 10200, 10300, 10402</t>
  </si>
  <si>
    <t xml:space="preserve">SKUPAJ PORABA NA DRŽAVNEM NIVOJU </t>
  </si>
  <si>
    <t>Skupaj direktni stroški programov in projektov</t>
  </si>
  <si>
    <t>Tajnik ZDUS (FIHO za delovanje ZDUS)</t>
  </si>
  <si>
    <t>SKUPAJ STROŠKI ZDUS</t>
  </si>
  <si>
    <t>SKUPAJ STROŠKI POSLOVANJA NA DRŽAVNI IN POKRAJINSKI RAVNI</t>
  </si>
  <si>
    <t xml:space="preserve">SKUPAJ STROŠKI POKRAJIN IN DU, 
IZ SREDSTEV ZBRANIH NA DRŽAVNI RAVNI </t>
  </si>
  <si>
    <t>Izdelava izobraževalnih gradiv in aktivnosti (MeM)</t>
  </si>
  <si>
    <r>
      <t xml:space="preserve">Direktni stroški v programu Starejši za starejše: </t>
    </r>
    <r>
      <rPr>
        <b/>
        <sz val="10"/>
        <rFont val="Arial CE"/>
        <charset val="238"/>
      </rPr>
      <t>dotacije DU</t>
    </r>
  </si>
  <si>
    <t>Opomba: delno zajeto pri stroških programov in projektov</t>
  </si>
  <si>
    <t>Prihodek Hotela Delfin</t>
  </si>
  <si>
    <t>Prihodki za storitve ZDUS (tudi od DU, neplačnikov članarine)</t>
  </si>
  <si>
    <t>Prihodek od donacij od dohodnine in prostovoljnih prispevkov</t>
  </si>
  <si>
    <t>2998,3012,3016,3021,3041</t>
  </si>
  <si>
    <t>Prihodki Javnega sklada RS za kulturne dejavnosti - JSKD</t>
  </si>
  <si>
    <t>SM 49</t>
  </si>
  <si>
    <t>Digit svet - Stroški dela</t>
  </si>
  <si>
    <t>Digi svet - Stroški organizacije izobraževanj (DU)</t>
  </si>
  <si>
    <t>Digi svet - Stroški promocije</t>
  </si>
  <si>
    <t>Digi svet - Režijski stroški</t>
  </si>
  <si>
    <t>Bralno-literarne dejavnosti DU</t>
  </si>
  <si>
    <t>Potni stroški RŠK komisij</t>
  </si>
  <si>
    <t>Gledališka delavnica ZDUS</t>
  </si>
  <si>
    <t>Priznanja, plakete, pokali, donatorske pogodbe (Dan ZDUS idr.)</t>
  </si>
  <si>
    <t>4704</t>
  </si>
  <si>
    <t>4902</t>
  </si>
  <si>
    <t>Investicije v DU iz sredstev FIHO</t>
  </si>
  <si>
    <t>Investicije v DU iz sredstev ZDUS</t>
  </si>
  <si>
    <t>Stroški dohodkov idr. povračil predsedstva ZDUS</t>
  </si>
  <si>
    <t>3148</t>
  </si>
  <si>
    <t>Vodstvo ZDUS in zaposleni</t>
  </si>
  <si>
    <t>Razne druge storitve (odvetniki, notarji,  osmrtnice, varstvo pri delu)</t>
  </si>
  <si>
    <t>Revija ZDUS Plus (oblikovanje, tisk, pošiljanje)</t>
  </si>
  <si>
    <t>Pogodbeno delo VPS</t>
  </si>
  <si>
    <t>10500-10501</t>
  </si>
  <si>
    <t>4110, 4113-4114</t>
  </si>
  <si>
    <t>Naložbe FIHO na državni ravni</t>
  </si>
  <si>
    <t xml:space="preserve">Prihodek ZRSZ - javna dela </t>
  </si>
  <si>
    <t xml:space="preserve">Zaposleni - javna dela </t>
  </si>
  <si>
    <t xml:space="preserve">Lastna udeležba ZDUS </t>
  </si>
  <si>
    <t>od tega lastna udeležba ZDUS</t>
  </si>
  <si>
    <t>Prihodek Javni razpis ZPIZ - RŠK dejavnost</t>
  </si>
  <si>
    <t>Realizacija 31.12.2024</t>
  </si>
  <si>
    <t>Indeks Real.2024/FN 2024</t>
  </si>
  <si>
    <t>Finančni načrt 2025</t>
  </si>
  <si>
    <t>Indeks FN 2025/Real. 2024</t>
  </si>
  <si>
    <t>4/3</t>
  </si>
  <si>
    <t>Finančni načrt 2024,Realizacija 2024,Finančni načrt 2025</t>
  </si>
  <si>
    <t>Prihodek za administracijo VPS 2023,2024</t>
  </si>
  <si>
    <t>Prihodek od refundacij boleznin</t>
  </si>
  <si>
    <t>Prevrednotovalni prihodki (prodaja zemljišča Rog.Slatina)</t>
  </si>
  <si>
    <t>3503-3506</t>
  </si>
  <si>
    <t>Izredni prihodki-plačane odpisane terjatve</t>
  </si>
  <si>
    <t>3090-3099</t>
  </si>
  <si>
    <t>od tega zavod za zaposlovanje</t>
  </si>
  <si>
    <t>Rezervna sredstva (odpravnine…,LD, aktuarski izračun)</t>
  </si>
  <si>
    <t>Realizacija/FN</t>
  </si>
  <si>
    <t>PROGRAM ZORR-MGTŠ</t>
  </si>
  <si>
    <t>Program ZORR_MGTŠ</t>
  </si>
  <si>
    <t>Indeks Realizacija/FN</t>
  </si>
  <si>
    <t>Program ZORR po naročilnicah</t>
  </si>
  <si>
    <t xml:space="preserve"> Indeks Realizacija/FN</t>
  </si>
  <si>
    <t>Stanje sklada na  31.12.2024</t>
  </si>
  <si>
    <t>Denar na poti-Saldo 1.1.2024</t>
  </si>
  <si>
    <t>SKUPAJ STANJE SKLADA 31.12.2024</t>
  </si>
  <si>
    <t xml:space="preserve">Opomba: </t>
  </si>
  <si>
    <t>Stroški dela in stroški upravljanja so za leto 2024 in del 2023.</t>
  </si>
  <si>
    <t>Izplačil posmrtnin za 17.999,90 več kot vplačil.</t>
  </si>
  <si>
    <t>4</t>
  </si>
  <si>
    <t>pod DMS in SzS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</si>
</sst>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_-* #,##0.00\ _S_I_T_-;\-* #,##0.00\ _S_I_T_-;_-* &quot;-&quot;??\ _S_I_T_-;_-@_-"/>
    <numFmt numFmtId="166" formatCode="_-* #,##0\ _S_I_T_-;\-* #,##0\ _S_I_T_-;_-* &quot;-&quot;??\ _S_I_T_-;_-@_-"/>
    <numFmt numFmtId="167" formatCode="dd/mm/yy"/>
    <numFmt numFmtId="168" formatCode="#,##0.00_ ;\-#,##0.00\ "/>
    <numFmt numFmtId="169" formatCode="0.0"/>
    <numFmt numFmtId="170" formatCode="#,##0.00\ &quot;€&quot;"/>
    <numFmt numFmtId="171" formatCode="_-* #,##0.00\ [$€-1]_-;\-* #,##0.00\ [$€-1]_-;_-* &quot;-&quot;??\ [$€-1]_-;_-@_-"/>
  </numFmts>
  <fonts count="3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3"/>
      <name val="Arial CE"/>
      <family val="2"/>
      <charset val="238"/>
    </font>
    <font>
      <sz val="9"/>
      <color indexed="12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sz val="9.5"/>
      <name val="Arial CE"/>
      <charset val="238"/>
    </font>
    <font>
      <b/>
      <sz val="9"/>
      <name val="Arial CE"/>
      <charset val="238"/>
    </font>
    <font>
      <b/>
      <sz val="14"/>
      <name val="Arial CE"/>
      <family val="2"/>
      <charset val="238"/>
    </font>
    <font>
      <sz val="10"/>
      <color rgb="FFFF0000"/>
      <name val="Arial CE"/>
      <charset val="238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u/>
      <sz val="10"/>
      <name val="Arial CE"/>
      <charset val="238"/>
    </font>
    <font>
      <b/>
      <u/>
      <sz val="10"/>
      <name val="Arial CE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sz val="14"/>
      <name val="Arial CE"/>
      <charset val="238"/>
    </font>
    <font>
      <b/>
      <u/>
      <sz val="10"/>
      <color rgb="FF92D050"/>
      <name val="Arial CE"/>
      <charset val="238"/>
    </font>
    <font>
      <sz val="10"/>
      <color rgb="FF92D050"/>
      <name val="Arial CE"/>
      <charset val="238"/>
    </font>
    <font>
      <b/>
      <sz val="10"/>
      <color rgb="FFFF0000"/>
      <name val="Arial CE"/>
      <charset val="238"/>
    </font>
    <font>
      <b/>
      <i/>
      <sz val="12"/>
      <name val="Arial CE"/>
      <charset val="238"/>
    </font>
    <font>
      <b/>
      <sz val="12"/>
      <color rgb="FFFF0000"/>
      <name val="Arial CE"/>
      <charset val="238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10"/>
      <color theme="1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9C73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2F88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0" fontId="18" fillId="4" borderId="0" applyNumberFormat="0" applyBorder="0" applyAlignment="0" applyProtection="0"/>
    <xf numFmtId="0" fontId="3" fillId="5" borderId="0" applyNumberFormat="0" applyBorder="0" applyAlignment="0" applyProtection="0"/>
    <xf numFmtId="44" fontId="4" fillId="0" borderId="0" applyFont="0" applyFill="0" applyBorder="0" applyAlignment="0" applyProtection="0"/>
    <xf numFmtId="0" fontId="2" fillId="5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3" fillId="0" borderId="0"/>
  </cellStyleXfs>
  <cellXfs count="656">
    <xf numFmtId="0" fontId="0" fillId="0" borderId="0" xfId="0"/>
    <xf numFmtId="0" fontId="8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vertical="justify"/>
    </xf>
    <xf numFmtId="4" fontId="0" fillId="0" borderId="0" xfId="0" applyNumberFormat="1"/>
    <xf numFmtId="0" fontId="6" fillId="0" borderId="0" xfId="0" applyFont="1" applyAlignment="1">
      <alignment horizontal="right" vertical="justify"/>
    </xf>
    <xf numFmtId="0" fontId="5" fillId="0" borderId="0" xfId="0" applyFont="1" applyAlignment="1">
      <alignment vertical="justify"/>
    </xf>
    <xf numFmtId="0" fontId="11" fillId="0" borderId="0" xfId="0" applyFont="1" applyAlignment="1">
      <alignment vertical="justify"/>
    </xf>
    <xf numFmtId="4" fontId="8" fillId="0" borderId="0" xfId="0" applyNumberFormat="1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0" fillId="0" borderId="0" xfId="2" applyNumberFormat="1" applyFont="1" applyFill="1" applyBorder="1" applyAlignment="1">
      <alignment horizontal="right"/>
    </xf>
    <xf numFmtId="165" fontId="8" fillId="0" borderId="0" xfId="2" applyFont="1" applyFill="1" applyBorder="1" applyAlignment="1">
      <alignment horizontal="left"/>
    </xf>
    <xf numFmtId="0" fontId="8" fillId="0" borderId="0" xfId="0" applyFont="1" applyAlignment="1">
      <alignment vertical="justify"/>
    </xf>
    <xf numFmtId="4" fontId="13" fillId="0" borderId="0" xfId="0" applyNumberFormat="1" applyFont="1"/>
    <xf numFmtId="0" fontId="8" fillId="0" borderId="0" xfId="0" applyFont="1" applyAlignment="1">
      <alignment horizontal="right"/>
    </xf>
    <xf numFmtId="4" fontId="0" fillId="0" borderId="1" xfId="0" applyNumberFormat="1" applyBorder="1"/>
    <xf numFmtId="0" fontId="0" fillId="0" borderId="5" xfId="0" applyBorder="1"/>
    <xf numFmtId="165" fontId="8" fillId="0" borderId="0" xfId="2" applyFont="1" applyFill="1" applyBorder="1" applyAlignment="1">
      <alignment horizontal="center" vertical="justify"/>
    </xf>
    <xf numFmtId="0" fontId="6" fillId="0" borderId="0" xfId="0" applyFont="1"/>
    <xf numFmtId="167" fontId="6" fillId="0" borderId="0" xfId="0" applyNumberFormat="1" applyFont="1" applyAlignment="1">
      <alignment horizontal="left"/>
    </xf>
    <xf numFmtId="0" fontId="16" fillId="0" borderId="0" xfId="0" applyFont="1"/>
    <xf numFmtId="0" fontId="0" fillId="0" borderId="7" xfId="0" applyBorder="1"/>
    <xf numFmtId="0" fontId="12" fillId="0" borderId="12" xfId="1" applyFont="1" applyBorder="1" applyAlignment="1">
      <alignment horizontal="center" vertical="distributed"/>
    </xf>
    <xf numFmtId="0" fontId="4" fillId="0" borderId="13" xfId="1" applyBorder="1"/>
    <xf numFmtId="0" fontId="4" fillId="0" borderId="2" xfId="1" applyBorder="1"/>
    <xf numFmtId="0" fontId="4" fillId="0" borderId="14" xfId="1" applyBorder="1"/>
    <xf numFmtId="0" fontId="4" fillId="0" borderId="12" xfId="1" applyBorder="1"/>
    <xf numFmtId="0" fontId="4" fillId="0" borderId="8" xfId="1" applyBorder="1"/>
    <xf numFmtId="0" fontId="0" fillId="0" borderId="15" xfId="0" applyBorder="1"/>
    <xf numFmtId="43" fontId="0" fillId="0" borderId="0" xfId="0" applyNumberFormat="1"/>
    <xf numFmtId="165" fontId="0" fillId="0" borderId="0" xfId="0" applyNumberFormat="1" applyAlignment="1">
      <alignment horizontal="right"/>
    </xf>
    <xf numFmtId="4" fontId="0" fillId="0" borderId="22" xfId="0" applyNumberFormat="1" applyBorder="1"/>
    <xf numFmtId="4" fontId="8" fillId="0" borderId="17" xfId="0" applyNumberFormat="1" applyFont="1" applyBorder="1"/>
    <xf numFmtId="0" fontId="6" fillId="0" borderId="17" xfId="1" applyFont="1" applyBorder="1" applyAlignment="1">
      <alignment horizontal="right"/>
    </xf>
    <xf numFmtId="0" fontId="5" fillId="0" borderId="1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5" fontId="8" fillId="0" borderId="20" xfId="2" applyFont="1" applyFill="1" applyBorder="1"/>
    <xf numFmtId="0" fontId="4" fillId="0" borderId="27" xfId="1" applyBorder="1"/>
    <xf numFmtId="165" fontId="8" fillId="0" borderId="27" xfId="2" applyFont="1" applyFill="1" applyBorder="1"/>
    <xf numFmtId="4" fontId="4" fillId="0" borderId="21" xfId="1" applyNumberFormat="1" applyBorder="1"/>
    <xf numFmtId="4" fontId="4" fillId="0" borderId="10" xfId="1" applyNumberFormat="1" applyBorder="1"/>
    <xf numFmtId="168" fontId="8" fillId="0" borderId="0" xfId="0" applyNumberFormat="1" applyFont="1"/>
    <xf numFmtId="0" fontId="0" fillId="0" borderId="18" xfId="1" applyFont="1" applyBorder="1"/>
    <xf numFmtId="0" fontId="0" fillId="0" borderId="1" xfId="1" applyFont="1" applyBorder="1"/>
    <xf numFmtId="0" fontId="0" fillId="0" borderId="16" xfId="1" applyFont="1" applyBorder="1"/>
    <xf numFmtId="4" fontId="8" fillId="0" borderId="19" xfId="0" applyNumberFormat="1" applyFont="1" applyBorder="1"/>
    <xf numFmtId="0" fontId="4" fillId="0" borderId="9" xfId="1" applyBorder="1"/>
    <xf numFmtId="0" fontId="10" fillId="0" borderId="0" xfId="0" applyFont="1"/>
    <xf numFmtId="0" fontId="15" fillId="0" borderId="17" xfId="0" applyFont="1" applyBorder="1" applyAlignment="1">
      <alignment horizontal="center" vertical="center"/>
    </xf>
    <xf numFmtId="165" fontId="0" fillId="0" borderId="28" xfId="0" applyNumberFormat="1" applyBorder="1"/>
    <xf numFmtId="0" fontId="8" fillId="0" borderId="17" xfId="1" applyFont="1" applyBorder="1"/>
    <xf numFmtId="0" fontId="0" fillId="0" borderId="15" xfId="1" applyFont="1" applyBorder="1"/>
    <xf numFmtId="0" fontId="7" fillId="0" borderId="0" xfId="0" applyFont="1"/>
    <xf numFmtId="0" fontId="10" fillId="0" borderId="0" xfId="0" applyFont="1" applyAlignment="1">
      <alignment horizontal="justify" wrapText="1"/>
    </xf>
    <xf numFmtId="0" fontId="17" fillId="0" borderId="0" xfId="0" applyFont="1"/>
    <xf numFmtId="0" fontId="4" fillId="0" borderId="3" xfId="1" applyBorder="1"/>
    <xf numFmtId="0" fontId="19" fillId="0" borderId="26" xfId="4" applyFont="1" applyFill="1" applyBorder="1"/>
    <xf numFmtId="0" fontId="12" fillId="0" borderId="31" xfId="1" applyFont="1" applyBorder="1" applyAlignment="1">
      <alignment horizontal="center" vertical="distributed"/>
    </xf>
    <xf numFmtId="0" fontId="4" fillId="0" borderId="32" xfId="1" applyBorder="1"/>
    <xf numFmtId="0" fontId="4" fillId="0" borderId="22" xfId="1" applyBorder="1"/>
    <xf numFmtId="0" fontId="0" fillId="0" borderId="0" xfId="1" applyFont="1"/>
    <xf numFmtId="0" fontId="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69" fontId="0" fillId="0" borderId="0" xfId="0" applyNumberFormat="1"/>
    <xf numFmtId="165" fontId="8" fillId="0" borderId="0" xfId="2" applyFont="1" applyFill="1" applyBorder="1"/>
    <xf numFmtId="2" fontId="0" fillId="0" borderId="0" xfId="0" applyNumberFormat="1"/>
    <xf numFmtId="4" fontId="8" fillId="0" borderId="0" xfId="1" applyNumberFormat="1" applyFont="1"/>
    <xf numFmtId="0" fontId="4" fillId="0" borderId="0" xfId="1"/>
    <xf numFmtId="0" fontId="6" fillId="0" borderId="0" xfId="1" applyFont="1" applyAlignment="1">
      <alignment horizontal="right"/>
    </xf>
    <xf numFmtId="4" fontId="0" fillId="2" borderId="0" xfId="0" applyNumberFormat="1" applyFill="1"/>
    <xf numFmtId="0" fontId="0" fillId="2" borderId="0" xfId="0" applyFill="1"/>
    <xf numFmtId="0" fontId="0" fillId="2" borderId="11" xfId="0" applyFill="1" applyBorder="1"/>
    <xf numFmtId="4" fontId="8" fillId="0" borderId="0" xfId="2" applyNumberFormat="1" applyFont="1" applyFill="1" applyBorder="1" applyAlignment="1"/>
    <xf numFmtId="0" fontId="9" fillId="0" borderId="0" xfId="0" applyFont="1"/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4" fontId="6" fillId="0" borderId="5" xfId="0" applyNumberFormat="1" applyFont="1" applyBorder="1" applyAlignment="1">
      <alignment horizontal="center"/>
    </xf>
    <xf numFmtId="0" fontId="0" fillId="0" borderId="40" xfId="0" applyBorder="1"/>
    <xf numFmtId="0" fontId="0" fillId="0" borderId="34" xfId="0" applyBorder="1"/>
    <xf numFmtId="16" fontId="0" fillId="0" borderId="3" xfId="0" applyNumberFormat="1" applyBorder="1"/>
    <xf numFmtId="0" fontId="5" fillId="0" borderId="12" xfId="0" applyFont="1" applyBorder="1"/>
    <xf numFmtId="0" fontId="0" fillId="0" borderId="31" xfId="0" applyBorder="1"/>
    <xf numFmtId="0" fontId="0" fillId="0" borderId="17" xfId="0" applyBorder="1"/>
    <xf numFmtId="3" fontId="0" fillId="0" borderId="0" xfId="0" applyNumberFormat="1"/>
    <xf numFmtId="0" fontId="0" fillId="0" borderId="9" xfId="0" applyBorder="1"/>
    <xf numFmtId="0" fontId="0" fillId="0" borderId="8" xfId="0" applyBorder="1"/>
    <xf numFmtId="0" fontId="0" fillId="0" borderId="36" xfId="0" applyBorder="1"/>
    <xf numFmtId="0" fontId="0" fillId="0" borderId="2" xfId="0" applyBorder="1"/>
    <xf numFmtId="0" fontId="8" fillId="0" borderId="12" xfId="0" applyFont="1" applyBorder="1" applyAlignment="1">
      <alignment horizontal="left"/>
    </xf>
    <xf numFmtId="0" fontId="5" fillId="0" borderId="0" xfId="0" applyFont="1"/>
    <xf numFmtId="0" fontId="6" fillId="0" borderId="31" xfId="0" applyFont="1" applyBorder="1"/>
    <xf numFmtId="4" fontId="5" fillId="0" borderId="0" xfId="0" applyNumberFormat="1" applyFont="1" applyAlignment="1">
      <alignment horizontal="right"/>
    </xf>
    <xf numFmtId="4" fontId="9" fillId="0" borderId="0" xfId="0" applyNumberFormat="1" applyFont="1"/>
    <xf numFmtId="0" fontId="19" fillId="0" borderId="0" xfId="3" applyFont="1" applyFill="1" applyBorder="1"/>
    <xf numFmtId="0" fontId="19" fillId="0" borderId="1" xfId="3" applyFont="1" applyFill="1" applyBorder="1"/>
    <xf numFmtId="4" fontId="4" fillId="0" borderId="33" xfId="1" applyNumberFormat="1" applyBorder="1"/>
    <xf numFmtId="4" fontId="24" fillId="0" borderId="0" xfId="0" applyNumberFormat="1" applyFont="1"/>
    <xf numFmtId="0" fontId="15" fillId="0" borderId="42" xfId="0" applyFont="1" applyBorder="1" applyAlignment="1">
      <alignment horizontal="center" vertical="center"/>
    </xf>
    <xf numFmtId="0" fontId="12" fillId="0" borderId="0" xfId="1" applyFont="1" applyAlignment="1">
      <alignment horizontal="center" vertical="distributed"/>
    </xf>
    <xf numFmtId="0" fontId="25" fillId="0" borderId="9" xfId="1" applyFont="1" applyBorder="1"/>
    <xf numFmtId="0" fontId="26" fillId="0" borderId="1" xfId="3" applyFont="1" applyFill="1" applyBorder="1"/>
    <xf numFmtId="0" fontId="27" fillId="0" borderId="0" xfId="0" applyFont="1"/>
    <xf numFmtId="167" fontId="5" fillId="0" borderId="0" xfId="0" applyNumberFormat="1" applyFont="1" applyAlignment="1">
      <alignment horizontal="left"/>
    </xf>
    <xf numFmtId="0" fontId="25" fillId="0" borderId="0" xfId="0" applyFont="1"/>
    <xf numFmtId="0" fontId="25" fillId="0" borderId="5" xfId="0" applyFont="1" applyBorder="1"/>
    <xf numFmtId="0" fontId="9" fillId="0" borderId="17" xfId="0" applyFont="1" applyBorder="1" applyAlignment="1">
      <alignment horizontal="center" vertical="center"/>
    </xf>
    <xf numFmtId="0" fontId="25" fillId="0" borderId="18" xfId="1" applyFont="1" applyBorder="1"/>
    <xf numFmtId="0" fontId="25" fillId="0" borderId="1" xfId="1" applyFont="1" applyBorder="1"/>
    <xf numFmtId="0" fontId="5" fillId="0" borderId="17" xfId="1" applyFont="1" applyBorder="1" applyAlignment="1">
      <alignment horizontal="right"/>
    </xf>
    <xf numFmtId="0" fontId="5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/>
    </xf>
    <xf numFmtId="0" fontId="9" fillId="0" borderId="35" xfId="1" applyFont="1" applyBorder="1"/>
    <xf numFmtId="43" fontId="25" fillId="0" borderId="0" xfId="0" applyNumberFormat="1" applyFont="1"/>
    <xf numFmtId="0" fontId="9" fillId="0" borderId="0" xfId="0" applyFont="1" applyAlignment="1">
      <alignment horizontal="right"/>
    </xf>
    <xf numFmtId="168" fontId="9" fillId="0" borderId="0" xfId="0" applyNumberFormat="1" applyFont="1"/>
    <xf numFmtId="43" fontId="25" fillId="0" borderId="1" xfId="0" applyNumberFormat="1" applyFont="1" applyBorder="1"/>
    <xf numFmtId="0" fontId="9" fillId="0" borderId="17" xfId="1" applyFont="1" applyBorder="1"/>
    <xf numFmtId="4" fontId="28" fillId="0" borderId="0" xfId="0" applyNumberFormat="1" applyFont="1"/>
    <xf numFmtId="4" fontId="29" fillId="0" borderId="0" xfId="0" applyNumberFormat="1" applyFont="1"/>
    <xf numFmtId="0" fontId="8" fillId="0" borderId="41" xfId="0" applyFont="1" applyBorder="1"/>
    <xf numFmtId="44" fontId="8" fillId="0" borderId="0" xfId="5" applyFont="1" applyBorder="1"/>
    <xf numFmtId="44" fontId="0" fillId="0" borderId="0" xfId="5" applyFont="1"/>
    <xf numFmtId="44" fontId="0" fillId="0" borderId="1" xfId="0" applyNumberFormat="1" applyBorder="1"/>
    <xf numFmtId="44" fontId="0" fillId="0" borderId="24" xfId="0" applyNumberFormat="1" applyBorder="1"/>
    <xf numFmtId="0" fontId="15" fillId="0" borderId="0" xfId="0" applyFont="1" applyAlignment="1">
      <alignment horizontal="center" vertical="justify"/>
    </xf>
    <xf numFmtId="44" fontId="17" fillId="0" borderId="0" xfId="5" applyFont="1" applyBorder="1"/>
    <xf numFmtId="0" fontId="8" fillId="0" borderId="5" xfId="0" applyFont="1" applyBorder="1"/>
    <xf numFmtId="44" fontId="25" fillId="0" borderId="0" xfId="0" applyNumberFormat="1" applyFont="1"/>
    <xf numFmtId="44" fontId="0" fillId="0" borderId="30" xfId="0" applyNumberFormat="1" applyBorder="1"/>
    <xf numFmtId="44" fontId="8" fillId="0" borderId="0" xfId="0" applyNumberFormat="1" applyFont="1"/>
    <xf numFmtId="44" fontId="0" fillId="0" borderId="0" xfId="0" applyNumberFormat="1"/>
    <xf numFmtId="44" fontId="0" fillId="0" borderId="23" xfId="0" applyNumberFormat="1" applyBorder="1"/>
    <xf numFmtId="44" fontId="15" fillId="0" borderId="17" xfId="0" applyNumberFormat="1" applyFont="1" applyBorder="1" applyAlignment="1">
      <alignment horizontal="center" vertical="center"/>
    </xf>
    <xf numFmtId="44" fontId="22" fillId="0" borderId="44" xfId="0" applyNumberFormat="1" applyFont="1" applyBorder="1"/>
    <xf numFmtId="44" fontId="0" fillId="0" borderId="16" xfId="0" applyNumberFormat="1" applyBorder="1"/>
    <xf numFmtId="44" fontId="0" fillId="0" borderId="17" xfId="0" applyNumberFormat="1" applyBorder="1"/>
    <xf numFmtId="44" fontId="0" fillId="0" borderId="42" xfId="0" applyNumberFormat="1" applyBorder="1"/>
    <xf numFmtId="44" fontId="5" fillId="0" borderId="17" xfId="0" applyNumberFormat="1" applyFont="1" applyBorder="1"/>
    <xf numFmtId="44" fontId="5" fillId="0" borderId="42" xfId="0" applyNumberFormat="1" applyFont="1" applyBorder="1"/>
    <xf numFmtId="44" fontId="6" fillId="0" borderId="0" xfId="0" applyNumberFormat="1" applyFont="1" applyAlignment="1">
      <alignment horizontal="center"/>
    </xf>
    <xf numFmtId="44" fontId="6" fillId="0" borderId="5" xfId="0" applyNumberFormat="1" applyFont="1" applyBorder="1" applyAlignment="1">
      <alignment horizontal="center"/>
    </xf>
    <xf numFmtId="44" fontId="0" fillId="0" borderId="45" xfId="0" applyNumberFormat="1" applyBorder="1"/>
    <xf numFmtId="44" fontId="0" fillId="0" borderId="48" xfId="0" applyNumberFormat="1" applyBorder="1"/>
    <xf numFmtId="44" fontId="5" fillId="0" borderId="19" xfId="0" applyNumberFormat="1" applyFont="1" applyBorder="1" applyAlignment="1">
      <alignment horizontal="right"/>
    </xf>
    <xf numFmtId="44" fontId="31" fillId="0" borderId="51" xfId="0" applyNumberFormat="1" applyFont="1" applyBorder="1"/>
    <xf numFmtId="44" fontId="8" fillId="0" borderId="17" xfId="0" applyNumberFormat="1" applyFont="1" applyBorder="1"/>
    <xf numFmtId="44" fontId="9" fillId="0" borderId="17" xfId="0" applyNumberFormat="1" applyFont="1" applyBorder="1"/>
    <xf numFmtId="44" fontId="25" fillId="0" borderId="1" xfId="1" applyNumberFormat="1" applyFont="1" applyBorder="1"/>
    <xf numFmtId="44" fontId="9" fillId="0" borderId="35" xfId="0" applyNumberFormat="1" applyFont="1" applyBorder="1"/>
    <xf numFmtId="44" fontId="9" fillId="0" borderId="38" xfId="0" applyNumberFormat="1" applyFont="1" applyBorder="1"/>
    <xf numFmtId="44" fontId="25" fillId="0" borderId="1" xfId="0" applyNumberFormat="1" applyFont="1" applyBorder="1"/>
    <xf numFmtId="44" fontId="25" fillId="0" borderId="22" xfId="0" applyNumberFormat="1" applyFont="1" applyBorder="1"/>
    <xf numFmtId="44" fontId="9" fillId="0" borderId="42" xfId="0" applyNumberFormat="1" applyFont="1" applyBorder="1"/>
    <xf numFmtId="0" fontId="0" fillId="7" borderId="0" xfId="0" applyFill="1"/>
    <xf numFmtId="170" fontId="0" fillId="0" borderId="0" xfId="0" applyNumberFormat="1"/>
    <xf numFmtId="44" fontId="8" fillId="6" borderId="0" xfId="0" applyNumberFormat="1" applyFont="1" applyFill="1"/>
    <xf numFmtId="2" fontId="0" fillId="7" borderId="0" xfId="0" applyNumberFormat="1" applyFill="1"/>
    <xf numFmtId="165" fontId="8" fillId="0" borderId="0" xfId="2" applyFont="1" applyFill="1" applyBorder="1" applyAlignment="1">
      <alignment vertical="justify"/>
    </xf>
    <xf numFmtId="44" fontId="8" fillId="0" borderId="0" xfId="2" applyNumberFormat="1" applyFont="1" applyFill="1" applyBorder="1" applyAlignment="1">
      <alignment horizontal="right"/>
    </xf>
    <xf numFmtId="4" fontId="0" fillId="0" borderId="0" xfId="0" applyNumberFormat="1" applyAlignment="1">
      <alignment wrapText="1"/>
    </xf>
    <xf numFmtId="0" fontId="0" fillId="0" borderId="0" xfId="0" applyAlignment="1">
      <alignment horizontal="left" indent="1"/>
    </xf>
    <xf numFmtId="0" fontId="10" fillId="0" borderId="0" xfId="0" applyFont="1" applyAlignment="1">
      <alignment horizontal="center"/>
    </xf>
    <xf numFmtId="0" fontId="12" fillId="0" borderId="46" xfId="1" applyFont="1" applyBorder="1" applyAlignment="1">
      <alignment horizontal="center" vertical="distributed"/>
    </xf>
    <xf numFmtId="0" fontId="5" fillId="0" borderId="47" xfId="0" applyFont="1" applyBorder="1" applyAlignment="1">
      <alignment horizontal="left" vertical="center"/>
    </xf>
    <xf numFmtId="0" fontId="15" fillId="0" borderId="5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4" fillId="0" borderId="40" xfId="1" applyBorder="1"/>
    <xf numFmtId="0" fontId="0" fillId="0" borderId="10" xfId="0" applyBorder="1"/>
    <xf numFmtId="0" fontId="4" fillId="0" borderId="31" xfId="1" applyBorder="1"/>
    <xf numFmtId="49" fontId="15" fillId="0" borderId="41" xfId="0" applyNumberFormat="1" applyFont="1" applyBorder="1" applyAlignment="1">
      <alignment horizontal="distributed" vertical="center"/>
    </xf>
    <xf numFmtId="49" fontId="15" fillId="0" borderId="4" xfId="0" applyNumberFormat="1" applyFont="1" applyBorder="1" applyAlignment="1">
      <alignment horizontal="distributed" vertical="center"/>
    </xf>
    <xf numFmtId="44" fontId="8" fillId="0" borderId="38" xfId="0" applyNumberFormat="1" applyFont="1" applyBorder="1"/>
    <xf numFmtId="0" fontId="0" fillId="0" borderId="33" xfId="0" applyBorder="1"/>
    <xf numFmtId="0" fontId="0" fillId="0" borderId="22" xfId="1" applyFont="1" applyBorder="1"/>
    <xf numFmtId="0" fontId="16" fillId="0" borderId="0" xfId="0" applyFont="1" applyAlignment="1">
      <alignment horizontal="right"/>
    </xf>
    <xf numFmtId="165" fontId="8" fillId="0" borderId="1" xfId="2" applyFont="1" applyFill="1" applyBorder="1"/>
    <xf numFmtId="165" fontId="0" fillId="0" borderId="18" xfId="0" applyNumberFormat="1" applyBorder="1"/>
    <xf numFmtId="165" fontId="8" fillId="0" borderId="17" xfId="2" applyFont="1" applyFill="1" applyBorder="1"/>
    <xf numFmtId="0" fontId="0" fillId="0" borderId="19" xfId="0" applyBorder="1"/>
    <xf numFmtId="4" fontId="4" fillId="0" borderId="1" xfId="1" applyNumberFormat="1" applyBorder="1"/>
    <xf numFmtId="4" fontId="4" fillId="0" borderId="18" xfId="1" applyNumberFormat="1" applyBorder="1"/>
    <xf numFmtId="4" fontId="4" fillId="0" borderId="22" xfId="1" applyNumberFormat="1" applyBorder="1"/>
    <xf numFmtId="171" fontId="0" fillId="0" borderId="18" xfId="0" applyNumberFormat="1" applyBorder="1"/>
    <xf numFmtId="171" fontId="0" fillId="0" borderId="1" xfId="0" applyNumberFormat="1" applyBorder="1"/>
    <xf numFmtId="171" fontId="0" fillId="0" borderId="22" xfId="0" applyNumberFormat="1" applyBorder="1"/>
    <xf numFmtId="171" fontId="8" fillId="0" borderId="17" xfId="0" applyNumberFormat="1" applyFont="1" applyBorder="1"/>
    <xf numFmtId="0" fontId="8" fillId="0" borderId="12" xfId="0" applyFont="1" applyBorder="1"/>
    <xf numFmtId="4" fontId="0" fillId="0" borderId="41" xfId="0" applyNumberFormat="1" applyBorder="1"/>
    <xf numFmtId="0" fontId="25" fillId="0" borderId="40" xfId="1" applyFont="1" applyBorder="1"/>
    <xf numFmtId="0" fontId="9" fillId="0" borderId="47" xfId="0" applyFont="1" applyBorder="1" applyAlignment="1">
      <alignment horizontal="left" vertical="center"/>
    </xf>
    <xf numFmtId="0" fontId="9" fillId="0" borderId="53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distributed" vertical="center"/>
    </xf>
    <xf numFmtId="44" fontId="25" fillId="0" borderId="18" xfId="0" applyNumberFormat="1" applyFont="1" applyBorder="1"/>
    <xf numFmtId="43" fontId="25" fillId="0" borderId="21" xfId="0" applyNumberFormat="1" applyFont="1" applyBorder="1"/>
    <xf numFmtId="44" fontId="9" fillId="0" borderId="1" xfId="2" applyNumberFormat="1" applyFont="1" applyFill="1" applyBorder="1"/>
    <xf numFmtId="0" fontId="25" fillId="0" borderId="10" xfId="0" applyFont="1" applyBorder="1"/>
    <xf numFmtId="0" fontId="25" fillId="0" borderId="34" xfId="1" applyFont="1" applyBorder="1"/>
    <xf numFmtId="0" fontId="25" fillId="0" borderId="35" xfId="1" applyFont="1" applyBorder="1"/>
    <xf numFmtId="44" fontId="25" fillId="0" borderId="22" xfId="1" applyNumberFormat="1" applyFont="1" applyBorder="1"/>
    <xf numFmtId="0" fontId="25" fillId="0" borderId="33" xfId="0" applyFont="1" applyBorder="1"/>
    <xf numFmtId="0" fontId="9" fillId="0" borderId="35" xfId="1" applyFont="1" applyBorder="1" applyAlignment="1">
      <alignment horizontal="right"/>
    </xf>
    <xf numFmtId="44" fontId="9" fillId="0" borderId="52" xfId="2" applyNumberFormat="1" applyFont="1" applyFill="1" applyBorder="1"/>
    <xf numFmtId="43" fontId="9" fillId="0" borderId="49" xfId="0" applyNumberFormat="1" applyFont="1" applyBorder="1"/>
    <xf numFmtId="0" fontId="25" fillId="0" borderId="0" xfId="1" applyFont="1"/>
    <xf numFmtId="0" fontId="9" fillId="0" borderId="0" xfId="1" applyFont="1" applyAlignment="1">
      <alignment horizontal="right"/>
    </xf>
    <xf numFmtId="43" fontId="9" fillId="0" borderId="0" xfId="0" applyNumberFormat="1" applyFont="1"/>
    <xf numFmtId="44" fontId="9" fillId="0" borderId="1" xfId="0" applyNumberFormat="1" applyFont="1" applyBorder="1"/>
    <xf numFmtId="0" fontId="25" fillId="0" borderId="24" xfId="1" applyFont="1" applyBorder="1"/>
    <xf numFmtId="44" fontId="25" fillId="0" borderId="24" xfId="1" applyNumberFormat="1" applyFont="1" applyBorder="1"/>
    <xf numFmtId="0" fontId="25" fillId="0" borderId="31" xfId="1" applyFont="1" applyBorder="1"/>
    <xf numFmtId="2" fontId="9" fillId="0" borderId="19" xfId="0" applyNumberFormat="1" applyFont="1" applyBorder="1"/>
    <xf numFmtId="49" fontId="9" fillId="0" borderId="19" xfId="0" applyNumberFormat="1" applyFont="1" applyBorder="1" applyAlignment="1">
      <alignment horizontal="distributed" vertical="center"/>
    </xf>
    <xf numFmtId="44" fontId="25" fillId="0" borderId="18" xfId="1" applyNumberFormat="1" applyFont="1" applyBorder="1"/>
    <xf numFmtId="2" fontId="25" fillId="0" borderId="21" xfId="0" applyNumberFormat="1" applyFont="1" applyBorder="1"/>
    <xf numFmtId="2" fontId="25" fillId="0" borderId="10" xfId="0" applyNumberFormat="1" applyFont="1" applyBorder="1"/>
    <xf numFmtId="0" fontId="25" fillId="0" borderId="32" xfId="1" applyFont="1" applyBorder="1"/>
    <xf numFmtId="0" fontId="25" fillId="0" borderId="22" xfId="1" applyFont="1" applyBorder="1"/>
    <xf numFmtId="2" fontId="25" fillId="0" borderId="33" xfId="0" applyNumberFormat="1" applyFont="1" applyBorder="1"/>
    <xf numFmtId="44" fontId="9" fillId="0" borderId="0" xfId="0" applyNumberFormat="1" applyFont="1"/>
    <xf numFmtId="44" fontId="9" fillId="0" borderId="0" xfId="2" applyNumberFormat="1" applyFont="1" applyFill="1" applyBorder="1"/>
    <xf numFmtId="0" fontId="4" fillId="0" borderId="1" xfId="1" applyBorder="1"/>
    <xf numFmtId="0" fontId="4" fillId="0" borderId="35" xfId="1" applyBorder="1"/>
    <xf numFmtId="166" fontId="25" fillId="0" borderId="21" xfId="2" applyNumberFormat="1" applyFont="1" applyBorder="1"/>
    <xf numFmtId="166" fontId="25" fillId="0" borderId="10" xfId="0" applyNumberFormat="1" applyFont="1" applyBorder="1"/>
    <xf numFmtId="166" fontId="25" fillId="0" borderId="33" xfId="0" applyNumberFormat="1" applyFont="1" applyBorder="1"/>
    <xf numFmtId="0" fontId="9" fillId="0" borderId="17" xfId="0" applyFont="1" applyBorder="1" applyAlignment="1">
      <alignment horizontal="left" vertical="center"/>
    </xf>
    <xf numFmtId="0" fontId="5" fillId="0" borderId="0" xfId="1" applyFont="1" applyAlignment="1">
      <alignment horizontal="right"/>
    </xf>
    <xf numFmtId="166" fontId="9" fillId="0" borderId="0" xfId="0" applyNumberFormat="1" applyFont="1"/>
    <xf numFmtId="44" fontId="9" fillId="0" borderId="17" xfId="2" applyNumberFormat="1" applyFont="1" applyFill="1" applyBorder="1"/>
    <xf numFmtId="166" fontId="9" fillId="0" borderId="19" xfId="0" applyNumberFormat="1" applyFont="1" applyBorder="1"/>
    <xf numFmtId="0" fontId="26" fillId="0" borderId="18" xfId="3" applyFont="1" applyFill="1" applyBorder="1"/>
    <xf numFmtId="0" fontId="25" fillId="0" borderId="9" xfId="0" applyFont="1" applyBorder="1"/>
    <xf numFmtId="0" fontId="25" fillId="0" borderId="32" xfId="0" applyFont="1" applyBorder="1"/>
    <xf numFmtId="0" fontId="26" fillId="0" borderId="22" xfId="3" applyFont="1" applyFill="1" applyBorder="1"/>
    <xf numFmtId="168" fontId="9" fillId="0" borderId="22" xfId="0" applyNumberFormat="1" applyFont="1" applyBorder="1"/>
    <xf numFmtId="2" fontId="9" fillId="0" borderId="25" xfId="0" applyNumberFormat="1" applyFont="1" applyBorder="1"/>
    <xf numFmtId="2" fontId="0" fillId="0" borderId="21" xfId="0" applyNumberFormat="1" applyBorder="1"/>
    <xf numFmtId="171" fontId="0" fillId="0" borderId="21" xfId="0" applyNumberFormat="1" applyBorder="1"/>
    <xf numFmtId="171" fontId="0" fillId="0" borderId="19" xfId="0" applyNumberFormat="1" applyBorder="1"/>
    <xf numFmtId="171" fontId="0" fillId="0" borderId="10" xfId="0" applyNumberFormat="1" applyBorder="1"/>
    <xf numFmtId="171" fontId="0" fillId="0" borderId="33" xfId="0" applyNumberFormat="1" applyBorder="1"/>
    <xf numFmtId="0" fontId="12" fillId="0" borderId="54" xfId="1" applyFont="1" applyBorder="1" applyAlignment="1">
      <alignment horizontal="center" vertical="distributed"/>
    </xf>
    <xf numFmtId="0" fontId="4" fillId="0" borderId="39" xfId="1" applyBorder="1"/>
    <xf numFmtId="0" fontId="25" fillId="0" borderId="21" xfId="0" applyFont="1" applyBorder="1"/>
    <xf numFmtId="0" fontId="25" fillId="0" borderId="50" xfId="0" applyFont="1" applyBorder="1"/>
    <xf numFmtId="0" fontId="9" fillId="0" borderId="17" xfId="1" applyFont="1" applyBorder="1" applyAlignment="1">
      <alignment horizontal="right"/>
    </xf>
    <xf numFmtId="43" fontId="25" fillId="0" borderId="19" xfId="0" applyNumberFormat="1" applyFont="1" applyBorder="1"/>
    <xf numFmtId="2" fontId="25" fillId="0" borderId="21" xfId="0" applyNumberFormat="1" applyFont="1" applyBorder="1" applyAlignment="1">
      <alignment horizontal="right"/>
    </xf>
    <xf numFmtId="2" fontId="25" fillId="0" borderId="10" xfId="0" applyNumberFormat="1" applyFont="1" applyBorder="1" applyAlignment="1">
      <alignment horizontal="right"/>
    </xf>
    <xf numFmtId="2" fontId="25" fillId="0" borderId="33" xfId="0" applyNumberFormat="1" applyFont="1" applyBorder="1" applyAlignment="1">
      <alignment horizontal="right"/>
    </xf>
    <xf numFmtId="2" fontId="25" fillId="0" borderId="19" xfId="0" applyNumberFormat="1" applyFont="1" applyBorder="1" applyAlignment="1">
      <alignment horizontal="right"/>
    </xf>
    <xf numFmtId="0" fontId="9" fillId="0" borderId="46" xfId="0" applyFont="1" applyBorder="1" applyAlignment="1">
      <alignment horizontal="left" vertical="center"/>
    </xf>
    <xf numFmtId="165" fontId="8" fillId="0" borderId="0" xfId="2" applyFont="1" applyFill="1" applyBorder="1" applyAlignment="1">
      <alignment vertical="center"/>
    </xf>
    <xf numFmtId="4" fontId="8" fillId="8" borderId="0" xfId="0" applyNumberFormat="1" applyFont="1" applyFill="1" applyAlignment="1">
      <alignment horizontal="center" vertical="center"/>
    </xf>
    <xf numFmtId="170" fontId="8" fillId="8" borderId="0" xfId="2" applyNumberFormat="1" applyFont="1" applyFill="1" applyBorder="1" applyAlignment="1">
      <alignment vertical="center"/>
    </xf>
    <xf numFmtId="2" fontId="0" fillId="8" borderId="0" xfId="0" applyNumberFormat="1" applyFill="1" applyAlignment="1">
      <alignment vertical="center"/>
    </xf>
    <xf numFmtId="165" fontId="5" fillId="9" borderId="0" xfId="2" applyFont="1" applyFill="1" applyBorder="1" applyAlignment="1">
      <alignment horizontal="center" vertical="center"/>
    </xf>
    <xf numFmtId="4" fontId="8" fillId="9" borderId="0" xfId="0" applyNumberFormat="1" applyFont="1" applyFill="1" applyAlignment="1">
      <alignment horizontal="center" vertical="center"/>
    </xf>
    <xf numFmtId="0" fontId="0" fillId="10" borderId="0" xfId="0" applyFill="1"/>
    <xf numFmtId="2" fontId="0" fillId="10" borderId="0" xfId="0" applyNumberFormat="1" applyFill="1"/>
    <xf numFmtId="0" fontId="8" fillId="10" borderId="0" xfId="0" applyFont="1" applyFill="1"/>
    <xf numFmtId="165" fontId="6" fillId="9" borderId="0" xfId="2" applyFont="1" applyFill="1" applyBorder="1" applyAlignment="1">
      <alignment horizontal="center" vertical="center"/>
    </xf>
    <xf numFmtId="44" fontId="8" fillId="9" borderId="0" xfId="2" applyNumberFormat="1" applyFont="1" applyFill="1" applyBorder="1" applyAlignment="1">
      <alignment horizontal="right"/>
    </xf>
    <xf numFmtId="171" fontId="8" fillId="6" borderId="0" xfId="2" applyNumberFormat="1" applyFont="1" applyFill="1" applyBorder="1" applyAlignment="1">
      <alignment vertical="justify"/>
    </xf>
    <xf numFmtId="2" fontId="8" fillId="0" borderId="0" xfId="0" applyNumberFormat="1" applyFont="1"/>
    <xf numFmtId="44" fontId="8" fillId="9" borderId="0" xfId="0" applyNumberFormat="1" applyFont="1" applyFill="1"/>
    <xf numFmtId="165" fontId="8" fillId="11" borderId="0" xfId="2" applyFont="1" applyFill="1" applyBorder="1" applyAlignment="1">
      <alignment vertical="justify"/>
    </xf>
    <xf numFmtId="44" fontId="8" fillId="12" borderId="0" xfId="0" applyNumberFormat="1" applyFont="1" applyFill="1"/>
    <xf numFmtId="2" fontId="8" fillId="12" borderId="0" xfId="0" applyNumberFormat="1" applyFont="1" applyFill="1"/>
    <xf numFmtId="4" fontId="23" fillId="0" borderId="0" xfId="0" applyNumberFormat="1" applyFont="1"/>
    <xf numFmtId="0" fontId="6" fillId="0" borderId="0" xfId="0" applyFont="1" applyAlignment="1">
      <alignment horizontal="right"/>
    </xf>
    <xf numFmtId="165" fontId="30" fillId="0" borderId="0" xfId="0" applyNumberFormat="1" applyFont="1"/>
    <xf numFmtId="44" fontId="30" fillId="0" borderId="0" xfId="5" applyFont="1" applyFill="1"/>
    <xf numFmtId="4" fontId="4" fillId="0" borderId="0" xfId="2" applyNumberFormat="1" applyFont="1" applyFill="1" applyBorder="1" applyAlignment="1"/>
    <xf numFmtId="165" fontId="4" fillId="0" borderId="0" xfId="2" applyFont="1" applyFill="1" applyBorder="1"/>
    <xf numFmtId="4" fontId="4" fillId="0" borderId="0" xfId="1" applyNumberFormat="1"/>
    <xf numFmtId="0" fontId="4" fillId="0" borderId="0" xfId="0" applyFont="1" applyAlignment="1">
      <alignment horizontal="left"/>
    </xf>
    <xf numFmtId="0" fontId="20" fillId="0" borderId="0" xfId="1" applyFont="1" applyAlignment="1">
      <alignment horizontal="center"/>
    </xf>
    <xf numFmtId="165" fontId="4" fillId="0" borderId="0" xfId="1" applyNumberFormat="1"/>
    <xf numFmtId="4" fontId="0" fillId="0" borderId="0" xfId="2" applyNumberFormat="1" applyFont="1" applyFill="1" applyBorder="1"/>
    <xf numFmtId="44" fontId="25" fillId="0" borderId="1" xfId="5" applyFont="1" applyFill="1" applyBorder="1"/>
    <xf numFmtId="0" fontId="9" fillId="0" borderId="1" xfId="1" applyFont="1" applyBorder="1"/>
    <xf numFmtId="44" fontId="26" fillId="0" borderId="1" xfId="5" applyFont="1" applyFill="1" applyBorder="1"/>
    <xf numFmtId="44" fontId="26" fillId="0" borderId="1" xfId="5" applyFont="1" applyFill="1" applyBorder="1" applyAlignment="1">
      <alignment horizontal="right"/>
    </xf>
    <xf numFmtId="44" fontId="25" fillId="0" borderId="1" xfId="5" applyFont="1" applyFill="1" applyBorder="1" applyAlignment="1">
      <alignment horizontal="right"/>
    </xf>
    <xf numFmtId="0" fontId="25" fillId="0" borderId="23" xfId="1" applyFont="1" applyBorder="1"/>
    <xf numFmtId="44" fontId="25" fillId="0" borderId="23" xfId="5" applyFont="1" applyFill="1" applyBorder="1"/>
    <xf numFmtId="0" fontId="9" fillId="0" borderId="37" xfId="0" applyFont="1" applyBorder="1" applyAlignment="1">
      <alignment horizontal="center" vertical="center"/>
    </xf>
    <xf numFmtId="0" fontId="0" fillId="0" borderId="52" xfId="0" applyBorder="1"/>
    <xf numFmtId="0" fontId="25" fillId="0" borderId="5" xfId="1" applyFont="1" applyBorder="1"/>
    <xf numFmtId="2" fontId="25" fillId="0" borderId="27" xfId="0" applyNumberFormat="1" applyFont="1" applyBorder="1" applyAlignment="1">
      <alignment horizontal="right"/>
    </xf>
    <xf numFmtId="165" fontId="5" fillId="0" borderId="0" xfId="2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4" fontId="8" fillId="8" borderId="17" xfId="0" applyNumberFormat="1" applyFont="1" applyFill="1" applyBorder="1" applyAlignment="1">
      <alignment horizontal="center" vertical="center"/>
    </xf>
    <xf numFmtId="4" fontId="8" fillId="8" borderId="1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" fontId="0" fillId="0" borderId="17" xfId="0" applyNumberFormat="1" applyBorder="1" applyAlignment="1">
      <alignment horizontal="center" vertical="justify"/>
    </xf>
    <xf numFmtId="3" fontId="0" fillId="0" borderId="17" xfId="0" applyNumberFormat="1" applyBorder="1" applyAlignment="1">
      <alignment horizontal="center"/>
    </xf>
    <xf numFmtId="4" fontId="0" fillId="0" borderId="19" xfId="0" quotePrefix="1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165" fontId="6" fillId="9" borderId="43" xfId="2" applyFont="1" applyFill="1" applyBorder="1" applyAlignment="1">
      <alignment horizontal="center" vertical="center"/>
    </xf>
    <xf numFmtId="165" fontId="6" fillId="9" borderId="37" xfId="2" applyFont="1" applyFill="1" applyBorder="1" applyAlignment="1">
      <alignment horizontal="center" vertical="center"/>
    </xf>
    <xf numFmtId="165" fontId="5" fillId="9" borderId="37" xfId="2" applyFont="1" applyFill="1" applyBorder="1" applyAlignment="1">
      <alignment horizontal="center" vertical="center"/>
    </xf>
    <xf numFmtId="44" fontId="8" fillId="0" borderId="17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justify"/>
    </xf>
    <xf numFmtId="171" fontId="0" fillId="0" borderId="1" xfId="0" applyNumberFormat="1" applyBorder="1" applyAlignment="1">
      <alignment wrapText="1"/>
    </xf>
    <xf numFmtId="171" fontId="0" fillId="0" borderId="1" xfId="0" applyNumberFormat="1" applyBorder="1" applyAlignment="1">
      <alignment horizontal="right" wrapText="1"/>
    </xf>
    <xf numFmtId="49" fontId="0" fillId="0" borderId="1" xfId="0" applyNumberFormat="1" applyBorder="1"/>
    <xf numFmtId="4" fontId="0" fillId="0" borderId="1" xfId="0" applyNumberForma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8" fillId="10" borderId="1" xfId="0" applyFont="1" applyFill="1" applyBorder="1"/>
    <xf numFmtId="165" fontId="0" fillId="0" borderId="1" xfId="2" applyFont="1" applyBorder="1" applyAlignment="1">
      <alignment vertical="justify"/>
    </xf>
    <xf numFmtId="165" fontId="0" fillId="0" borderId="1" xfId="2" applyFont="1" applyFill="1" applyBorder="1" applyAlignment="1">
      <alignment vertical="justify"/>
    </xf>
    <xf numFmtId="165" fontId="4" fillId="0" borderId="1" xfId="2" applyFont="1" applyFill="1" applyBorder="1" applyAlignment="1">
      <alignment vertical="justify"/>
    </xf>
    <xf numFmtId="165" fontId="8" fillId="6" borderId="1" xfId="2" applyFont="1" applyFill="1" applyBorder="1" applyAlignment="1">
      <alignment vertical="justify"/>
    </xf>
    <xf numFmtId="171" fontId="8" fillId="6" borderId="1" xfId="2" applyNumberFormat="1" applyFont="1" applyFill="1" applyBorder="1" applyAlignment="1">
      <alignment vertical="justify"/>
    </xf>
    <xf numFmtId="44" fontId="8" fillId="6" borderId="1" xfId="0" applyNumberFormat="1" applyFont="1" applyFill="1" applyBorder="1"/>
    <xf numFmtId="4" fontId="8" fillId="6" borderId="1" xfId="0" applyNumberFormat="1" applyFont="1" applyFill="1" applyBorder="1"/>
    <xf numFmtId="0" fontId="8" fillId="6" borderId="1" xfId="0" applyFont="1" applyFill="1" applyBorder="1" applyAlignment="1">
      <alignment vertical="justify"/>
    </xf>
    <xf numFmtId="171" fontId="8" fillId="6" borderId="1" xfId="0" applyNumberFormat="1" applyFont="1" applyFill="1" applyBorder="1"/>
    <xf numFmtId="0" fontId="0" fillId="10" borderId="40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8" fillId="10" borderId="18" xfId="0" applyFont="1" applyFill="1" applyBorder="1"/>
    <xf numFmtId="0" fontId="8" fillId="10" borderId="21" xfId="0" applyFont="1" applyFill="1" applyBorder="1"/>
    <xf numFmtId="0" fontId="0" fillId="0" borderId="9" xfId="0" quotePrefix="1" applyBorder="1" applyAlignment="1">
      <alignment horizontal="center"/>
    </xf>
    <xf numFmtId="4" fontId="0" fillId="0" borderId="10" xfId="0" applyNumberFormat="1" applyBorder="1"/>
    <xf numFmtId="165" fontId="8" fillId="6" borderId="9" xfId="2" applyFont="1" applyFill="1" applyBorder="1" applyAlignment="1">
      <alignment vertical="justify"/>
    </xf>
    <xf numFmtId="168" fontId="8" fillId="6" borderId="10" xfId="0" applyNumberFormat="1" applyFont="1" applyFill="1" applyBorder="1"/>
    <xf numFmtId="0" fontId="8" fillId="10" borderId="9" xfId="0" applyFont="1" applyFill="1" applyBorder="1"/>
    <xf numFmtId="0" fontId="8" fillId="10" borderId="10" xfId="0" applyFont="1" applyFill="1" applyBorder="1"/>
    <xf numFmtId="0" fontId="0" fillId="10" borderId="9" xfId="0" applyFill="1" applyBorder="1" applyAlignment="1">
      <alignment horizontal="center"/>
    </xf>
    <xf numFmtId="0" fontId="8" fillId="3" borderId="22" xfId="0" applyFont="1" applyFill="1" applyBorder="1" applyAlignment="1">
      <alignment vertical="justify"/>
    </xf>
    <xf numFmtId="4" fontId="0" fillId="0" borderId="33" xfId="0" applyNumberFormat="1" applyBorder="1"/>
    <xf numFmtId="171" fontId="0" fillId="0" borderId="1" xfId="0" applyNumberFormat="1" applyBorder="1" applyAlignment="1">
      <alignment horizontal="right"/>
    </xf>
    <xf numFmtId="0" fontId="0" fillId="0" borderId="18" xfId="0" applyBorder="1" applyAlignment="1">
      <alignment horizontal="center"/>
    </xf>
    <xf numFmtId="165" fontId="8" fillId="6" borderId="32" xfId="2" applyFont="1" applyFill="1" applyBorder="1" applyAlignment="1">
      <alignment vertical="justify"/>
    </xf>
    <xf numFmtId="165" fontId="8" fillId="6" borderId="22" xfId="2" applyFont="1" applyFill="1" applyBorder="1" applyAlignment="1">
      <alignment vertical="justify"/>
    </xf>
    <xf numFmtId="44" fontId="8" fillId="6" borderId="22" xfId="0" applyNumberFormat="1" applyFont="1" applyFill="1" applyBorder="1"/>
    <xf numFmtId="168" fontId="8" fillId="6" borderId="33" xfId="0" applyNumberFormat="1" applyFont="1" applyFill="1" applyBorder="1"/>
    <xf numFmtId="165" fontId="4" fillId="0" borderId="1" xfId="2" applyFont="1" applyFill="1" applyBorder="1" applyAlignment="1">
      <alignment horizontal="left" vertical="justify"/>
    </xf>
    <xf numFmtId="165" fontId="8" fillId="0" borderId="1" xfId="2" applyFont="1" applyFill="1" applyBorder="1" applyAlignment="1">
      <alignment vertical="justify"/>
    </xf>
    <xf numFmtId="44" fontId="8" fillId="0" borderId="1" xfId="0" applyNumberFormat="1" applyFont="1" applyBorder="1"/>
    <xf numFmtId="0" fontId="0" fillId="10" borderId="1" xfId="0" applyFill="1" applyBorder="1"/>
    <xf numFmtId="165" fontId="14" fillId="0" borderId="1" xfId="2" applyFont="1" applyBorder="1" applyAlignment="1">
      <alignment vertical="justify"/>
    </xf>
    <xf numFmtId="1" fontId="8" fillId="10" borderId="18" xfId="0" applyNumberFormat="1" applyFont="1" applyFill="1" applyBorder="1" applyAlignment="1">
      <alignment horizontal="left" vertical="justify"/>
    </xf>
    <xf numFmtId="44" fontId="0" fillId="10" borderId="18" xfId="0" applyNumberFormat="1" applyFill="1" applyBorder="1" applyAlignment="1">
      <alignment horizontal="center"/>
    </xf>
    <xf numFmtId="4" fontId="0" fillId="10" borderId="18" xfId="0" applyNumberFormat="1" applyFill="1" applyBorder="1"/>
    <xf numFmtId="4" fontId="0" fillId="10" borderId="21" xfId="0" applyNumberFormat="1" applyFill="1" applyBorder="1"/>
    <xf numFmtId="4" fontId="0" fillId="0" borderId="10" xfId="0" applyNumberFormat="1" applyBorder="1" applyAlignment="1">
      <alignment horizontal="right"/>
    </xf>
    <xf numFmtId="165" fontId="8" fillId="0" borderId="9" xfId="2" applyFont="1" applyFill="1" applyBorder="1" applyAlignment="1">
      <alignment vertical="justify"/>
    </xf>
    <xf numFmtId="44" fontId="8" fillId="0" borderId="10" xfId="0" applyNumberFormat="1" applyFont="1" applyBorder="1"/>
    <xf numFmtId="0" fontId="0" fillId="10" borderId="10" xfId="0" applyFill="1" applyBorder="1"/>
    <xf numFmtId="1" fontId="0" fillId="0" borderId="9" xfId="0" quotePrefix="1" applyNumberFormat="1" applyBorder="1" applyAlignment="1">
      <alignment horizontal="center"/>
    </xf>
    <xf numFmtId="0" fontId="8" fillId="8" borderId="56" xfId="0" applyFont="1" applyFill="1" applyBorder="1" applyAlignment="1">
      <alignment horizontal="center"/>
    </xf>
    <xf numFmtId="165" fontId="8" fillId="0" borderId="52" xfId="2" applyFont="1" applyFill="1" applyBorder="1" applyAlignment="1">
      <alignment vertical="center"/>
    </xf>
    <xf numFmtId="170" fontId="8" fillId="0" borderId="35" xfId="2" applyNumberFormat="1" applyFont="1" applyFill="1" applyBorder="1" applyAlignment="1">
      <alignment vertical="center"/>
    </xf>
    <xf numFmtId="171" fontId="8" fillId="0" borderId="35" xfId="0" applyNumberFormat="1" applyFont="1" applyBorder="1" applyAlignment="1">
      <alignment vertical="center"/>
    </xf>
    <xf numFmtId="170" fontId="0" fillId="0" borderId="1" xfId="0" applyNumberFormat="1" applyBorder="1"/>
    <xf numFmtId="0" fontId="0" fillId="0" borderId="40" xfId="0" quotePrefix="1" applyBorder="1" applyAlignment="1">
      <alignment horizontal="center"/>
    </xf>
    <xf numFmtId="165" fontId="0" fillId="0" borderId="18" xfId="2" applyFont="1" applyFill="1" applyBorder="1" applyAlignment="1">
      <alignment vertical="justify"/>
    </xf>
    <xf numFmtId="170" fontId="0" fillId="0" borderId="18" xfId="0" applyNumberFormat="1" applyBorder="1"/>
    <xf numFmtId="4" fontId="0" fillId="0" borderId="21" xfId="0" applyNumberFormat="1" applyBorder="1" applyAlignment="1">
      <alignment horizontal="right"/>
    </xf>
    <xf numFmtId="0" fontId="0" fillId="0" borderId="32" xfId="0" quotePrefix="1" applyBorder="1" applyAlignment="1">
      <alignment horizontal="center"/>
    </xf>
    <xf numFmtId="165" fontId="0" fillId="0" borderId="22" xfId="2" applyFont="1" applyFill="1" applyBorder="1" applyAlignment="1">
      <alignment vertical="justify"/>
    </xf>
    <xf numFmtId="170" fontId="0" fillId="0" borderId="22" xfId="0" applyNumberFormat="1" applyBorder="1"/>
    <xf numFmtId="0" fontId="8" fillId="8" borderId="6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165" fontId="8" fillId="8" borderId="15" xfId="2" applyFont="1" applyFill="1" applyBorder="1" applyAlignment="1">
      <alignment vertical="center"/>
    </xf>
    <xf numFmtId="165" fontId="8" fillId="8" borderId="51" xfId="2" applyFont="1" applyFill="1" applyBorder="1" applyAlignment="1">
      <alignment vertical="center"/>
    </xf>
    <xf numFmtId="4" fontId="0" fillId="0" borderId="21" xfId="0" applyNumberFormat="1" applyBorder="1"/>
    <xf numFmtId="0" fontId="8" fillId="0" borderId="43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0" fillId="0" borderId="17" xfId="0" applyBorder="1" applyAlignment="1">
      <alignment horizontal="center"/>
    </xf>
    <xf numFmtId="0" fontId="0" fillId="10" borderId="57" xfId="0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8" fillId="10" borderId="23" xfId="0" applyFont="1" applyFill="1" applyBorder="1"/>
    <xf numFmtId="0" fontId="8" fillId="10" borderId="29" xfId="0" applyFont="1" applyFill="1" applyBorder="1"/>
    <xf numFmtId="44" fontId="26" fillId="0" borderId="23" xfId="5" applyFont="1" applyFill="1" applyBorder="1"/>
    <xf numFmtId="0" fontId="9" fillId="0" borderId="15" xfId="0" applyFont="1" applyBorder="1" applyAlignment="1">
      <alignment horizontal="center" vertical="center"/>
    </xf>
    <xf numFmtId="44" fontId="26" fillId="0" borderId="24" xfId="5" applyFont="1" applyFill="1" applyBorder="1"/>
    <xf numFmtId="44" fontId="25" fillId="0" borderId="17" xfId="5" applyFont="1" applyFill="1" applyBorder="1"/>
    <xf numFmtId="44" fontId="34" fillId="0" borderId="19" xfId="5" applyFont="1" applyFill="1" applyBorder="1"/>
    <xf numFmtId="0" fontId="9" fillId="0" borderId="17" xfId="1" applyFont="1" applyBorder="1" applyAlignment="1">
      <alignment horizontal="center"/>
    </xf>
    <xf numFmtId="44" fontId="9" fillId="0" borderId="19" xfId="0" applyNumberFormat="1" applyFont="1" applyBorder="1"/>
    <xf numFmtId="0" fontId="9" fillId="0" borderId="23" xfId="1" applyFont="1" applyBorder="1"/>
    <xf numFmtId="44" fontId="26" fillId="0" borderId="18" xfId="5" applyFont="1" applyFill="1" applyBorder="1"/>
    <xf numFmtId="44" fontId="25" fillId="0" borderId="18" xfId="5" applyFont="1" applyFill="1" applyBorder="1"/>
    <xf numFmtId="4" fontId="25" fillId="0" borderId="21" xfId="2" applyNumberFormat="1" applyFont="1" applyFill="1" applyBorder="1"/>
    <xf numFmtId="4" fontId="25" fillId="0" borderId="10" xfId="2" applyNumberFormat="1" applyFont="1" applyFill="1" applyBorder="1"/>
    <xf numFmtId="44" fontId="26" fillId="0" borderId="22" xfId="5" applyFont="1" applyFill="1" applyBorder="1"/>
    <xf numFmtId="44" fontId="25" fillId="0" borderId="22" xfId="5" applyFont="1" applyFill="1" applyBorder="1" applyAlignment="1">
      <alignment horizontal="right"/>
    </xf>
    <xf numFmtId="44" fontId="25" fillId="0" borderId="24" xfId="5" applyFont="1" applyFill="1" applyBorder="1"/>
    <xf numFmtId="0" fontId="34" fillId="0" borderId="17" xfId="1" applyFont="1" applyBorder="1" applyAlignment="1">
      <alignment horizontal="right"/>
    </xf>
    <xf numFmtId="44" fontId="9" fillId="0" borderId="17" xfId="5" applyFont="1" applyFill="1" applyBorder="1"/>
    <xf numFmtId="4" fontId="25" fillId="0" borderId="19" xfId="2" applyNumberFormat="1" applyFont="1" applyFill="1" applyBorder="1"/>
    <xf numFmtId="44" fontId="9" fillId="0" borderId="13" xfId="5" applyFont="1" applyFill="1" applyBorder="1" applyAlignment="1">
      <alignment horizontal="center" vertical="center"/>
    </xf>
    <xf numFmtId="0" fontId="25" fillId="0" borderId="57" xfId="1" applyFont="1" applyBorder="1"/>
    <xf numFmtId="0" fontId="25" fillId="0" borderId="39" xfId="1" applyFont="1" applyBorder="1"/>
    <xf numFmtId="4" fontId="25" fillId="0" borderId="50" xfId="2" applyNumberFormat="1" applyFont="1" applyFill="1" applyBorder="1"/>
    <xf numFmtId="0" fontId="4" fillId="0" borderId="34" xfId="1" applyBorder="1"/>
    <xf numFmtId="0" fontId="8" fillId="0" borderId="35" xfId="1" applyFont="1" applyBorder="1"/>
    <xf numFmtId="170" fontId="8" fillId="0" borderId="0" xfId="0" applyNumberFormat="1" applyFont="1"/>
    <xf numFmtId="165" fontId="0" fillId="0" borderId="24" xfId="2" applyFont="1" applyFill="1" applyBorder="1" applyAlignment="1">
      <alignment vertical="justify"/>
    </xf>
    <xf numFmtId="170" fontId="8" fillId="0" borderId="17" xfId="0" applyNumberFormat="1" applyFont="1" applyBorder="1" applyAlignment="1">
      <alignment horizontal="right"/>
    </xf>
    <xf numFmtId="171" fontId="0" fillId="0" borderId="0" xfId="0" applyNumberFormat="1"/>
    <xf numFmtId="49" fontId="8" fillId="12" borderId="31" xfId="2" applyNumberFormat="1" applyFont="1" applyFill="1" applyBorder="1" applyAlignment="1">
      <alignment horizontal="center" vertical="center" wrapText="1"/>
    </xf>
    <xf numFmtId="44" fontId="8" fillId="12" borderId="17" xfId="0" applyNumberFormat="1" applyFont="1" applyFill="1" applyBorder="1" applyAlignment="1">
      <alignment vertical="center"/>
    </xf>
    <xf numFmtId="4" fontId="0" fillId="0" borderId="0" xfId="0" applyNumberFormat="1" applyAlignment="1">
      <alignment horizontal="left"/>
    </xf>
    <xf numFmtId="44" fontId="25" fillId="0" borderId="47" xfId="0" applyNumberFormat="1" applyFont="1" applyBorder="1"/>
    <xf numFmtId="0" fontId="30" fillId="0" borderId="1" xfId="0" applyFont="1" applyBorder="1" applyAlignment="1">
      <alignment vertical="justify"/>
    </xf>
    <xf numFmtId="44" fontId="0" fillId="0" borderId="0" xfId="0" applyNumberFormat="1" applyAlignment="1">
      <alignment horizontal="left"/>
    </xf>
    <xf numFmtId="0" fontId="9" fillId="9" borderId="47" xfId="0" applyFont="1" applyFill="1" applyBorder="1" applyAlignment="1">
      <alignment vertical="center" wrapText="1"/>
    </xf>
    <xf numFmtId="171" fontId="8" fillId="13" borderId="18" xfId="0" applyNumberFormat="1" applyFont="1" applyFill="1" applyBorder="1" applyAlignment="1">
      <alignment wrapText="1"/>
    </xf>
    <xf numFmtId="0" fontId="8" fillId="13" borderId="1" xfId="0" applyFont="1" applyFill="1" applyBorder="1" applyAlignment="1">
      <alignment vertical="justify"/>
    </xf>
    <xf numFmtId="44" fontId="8" fillId="13" borderId="1" xfId="0" applyNumberFormat="1" applyFont="1" applyFill="1" applyBorder="1"/>
    <xf numFmtId="0" fontId="8" fillId="13" borderId="24" xfId="0" applyFont="1" applyFill="1" applyBorder="1" applyAlignment="1">
      <alignment vertical="justify"/>
    </xf>
    <xf numFmtId="44" fontId="8" fillId="13" borderId="24" xfId="0" applyNumberFormat="1" applyFont="1" applyFill="1" applyBorder="1"/>
    <xf numFmtId="44" fontId="26" fillId="13" borderId="24" xfId="5" applyFont="1" applyFill="1" applyBorder="1"/>
    <xf numFmtId="44" fontId="26" fillId="0" borderId="0" xfId="5" applyFont="1" applyFill="1" applyBorder="1"/>
    <xf numFmtId="0" fontId="0" fillId="0" borderId="24" xfId="0" applyBorder="1" applyAlignment="1">
      <alignment horizontal="center"/>
    </xf>
    <xf numFmtId="2" fontId="25" fillId="0" borderId="25" xfId="0" applyNumberFormat="1" applyFont="1" applyBorder="1"/>
    <xf numFmtId="0" fontId="0" fillId="0" borderId="39" xfId="0" quotePrefix="1" applyBorder="1" applyAlignment="1">
      <alignment horizontal="center"/>
    </xf>
    <xf numFmtId="4" fontId="0" fillId="0" borderId="50" xfId="0" applyNumberFormat="1" applyBorder="1"/>
    <xf numFmtId="165" fontId="8" fillId="6" borderId="31" xfId="2" applyFont="1" applyFill="1" applyBorder="1" applyAlignment="1">
      <alignment vertical="justify"/>
    </xf>
    <xf numFmtId="165" fontId="8" fillId="6" borderId="17" xfId="2" applyFont="1" applyFill="1" applyBorder="1" applyAlignment="1">
      <alignment vertical="justify"/>
    </xf>
    <xf numFmtId="44" fontId="8" fillId="6" borderId="47" xfId="0" applyNumberFormat="1" applyFont="1" applyFill="1" applyBorder="1"/>
    <xf numFmtId="168" fontId="8" fillId="6" borderId="55" xfId="0" applyNumberFormat="1" applyFont="1" applyFill="1" applyBorder="1"/>
    <xf numFmtId="165" fontId="8" fillId="12" borderId="43" xfId="2" applyFont="1" applyFill="1" applyBorder="1" applyAlignment="1">
      <alignment vertical="justify"/>
    </xf>
    <xf numFmtId="0" fontId="8" fillId="9" borderId="17" xfId="0" applyFont="1" applyFill="1" applyBorder="1"/>
    <xf numFmtId="44" fontId="8" fillId="9" borderId="17" xfId="0" applyNumberFormat="1" applyFont="1" applyFill="1" applyBorder="1"/>
    <xf numFmtId="168" fontId="8" fillId="9" borderId="19" xfId="0" applyNumberFormat="1" applyFont="1" applyFill="1" applyBorder="1"/>
    <xf numFmtId="0" fontId="8" fillId="0" borderId="31" xfId="0" applyFont="1" applyBorder="1" applyAlignment="1">
      <alignment horizontal="right" vertical="justify"/>
    </xf>
    <xf numFmtId="165" fontId="8" fillId="0" borderId="0" xfId="2" applyFont="1" applyFill="1" applyBorder="1" applyAlignment="1">
      <alignment horizontal="right" vertical="center"/>
    </xf>
    <xf numFmtId="44" fontId="8" fillId="0" borderId="0" xfId="0" applyNumberFormat="1" applyFont="1" applyAlignment="1">
      <alignment vertical="center"/>
    </xf>
    <xf numFmtId="0" fontId="8" fillId="14" borderId="31" xfId="0" applyFont="1" applyFill="1" applyBorder="1" applyAlignment="1">
      <alignment horizontal="center" vertical="center" wrapText="1"/>
    </xf>
    <xf numFmtId="44" fontId="8" fillId="14" borderId="17" xfId="0" applyNumberFormat="1" applyFont="1" applyFill="1" applyBorder="1" applyAlignment="1">
      <alignment horizontal="center" vertical="center"/>
    </xf>
    <xf numFmtId="168" fontId="8" fillId="14" borderId="19" xfId="0" applyNumberFormat="1" applyFont="1" applyFill="1" applyBorder="1" applyAlignment="1">
      <alignment horizontal="right" vertical="center"/>
    </xf>
    <xf numFmtId="44" fontId="8" fillId="11" borderId="17" xfId="0" applyNumberFormat="1" applyFont="1" applyFill="1" applyBorder="1" applyAlignment="1">
      <alignment vertical="center"/>
    </xf>
    <xf numFmtId="44" fontId="8" fillId="11" borderId="17" xfId="0" applyNumberFormat="1" applyFont="1" applyFill="1" applyBorder="1"/>
    <xf numFmtId="0" fontId="0" fillId="9" borderId="54" xfId="0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1" fontId="0" fillId="0" borderId="0" xfId="0" applyNumberFormat="1" applyAlignment="1">
      <alignment horizontal="left"/>
    </xf>
    <xf numFmtId="171" fontId="0" fillId="0" borderId="24" xfId="0" applyNumberFormat="1" applyBorder="1" applyAlignment="1">
      <alignment horizontal="right"/>
    </xf>
    <xf numFmtId="0" fontId="0" fillId="0" borderId="57" xfId="0" applyBorder="1"/>
    <xf numFmtId="2" fontId="25" fillId="0" borderId="25" xfId="0" applyNumberFormat="1" applyFont="1" applyBorder="1" applyAlignment="1">
      <alignment horizontal="right"/>
    </xf>
    <xf numFmtId="0" fontId="8" fillId="8" borderId="4" xfId="0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165" fontId="6" fillId="0" borderId="23" xfId="2" applyFont="1" applyFill="1" applyBorder="1" applyAlignment="1">
      <alignment horizontal="center" vertical="center"/>
    </xf>
    <xf numFmtId="1" fontId="0" fillId="0" borderId="23" xfId="0" applyNumberFormat="1" applyBorder="1" applyAlignment="1">
      <alignment horizontal="center" vertical="justify"/>
    </xf>
    <xf numFmtId="4" fontId="0" fillId="0" borderId="23" xfId="0" applyNumberFormat="1" applyBorder="1" applyAlignment="1">
      <alignment horizontal="center"/>
    </xf>
    <xf numFmtId="4" fontId="0" fillId="0" borderId="19" xfId="0" applyNumberFormat="1" applyBorder="1"/>
    <xf numFmtId="44" fontId="22" fillId="0" borderId="18" xfId="0" applyNumberFormat="1" applyFont="1" applyBorder="1"/>
    <xf numFmtId="0" fontId="0" fillId="0" borderId="21" xfId="0" applyBorder="1"/>
    <xf numFmtId="0" fontId="0" fillId="0" borderId="58" xfId="0" applyBorder="1"/>
    <xf numFmtId="0" fontId="0" fillId="0" borderId="3" xfId="0" applyBorder="1"/>
    <xf numFmtId="44" fontId="4" fillId="0" borderId="16" xfId="0" applyNumberFormat="1" applyFont="1" applyBorder="1"/>
    <xf numFmtId="44" fontId="4" fillId="0" borderId="60" xfId="0" applyNumberFormat="1" applyFont="1" applyBorder="1"/>
    <xf numFmtId="4" fontId="0" fillId="0" borderId="29" xfId="0" applyNumberFormat="1" applyBorder="1"/>
    <xf numFmtId="4" fontId="0" fillId="0" borderId="59" xfId="0" applyNumberFormat="1" applyBorder="1"/>
    <xf numFmtId="0" fontId="0" fillId="0" borderId="39" xfId="0" applyBorder="1"/>
    <xf numFmtId="0" fontId="0" fillId="0" borderId="24" xfId="0" applyBorder="1"/>
    <xf numFmtId="44" fontId="0" fillId="0" borderId="60" xfId="0" applyNumberFormat="1" applyBorder="1"/>
    <xf numFmtId="0" fontId="0" fillId="0" borderId="50" xfId="0" applyBorder="1"/>
    <xf numFmtId="0" fontId="0" fillId="0" borderId="12" xfId="0" applyBorder="1"/>
    <xf numFmtId="2" fontId="0" fillId="0" borderId="19" xfId="0" applyNumberFormat="1" applyBorder="1"/>
    <xf numFmtId="0" fontId="0" fillId="0" borderId="59" xfId="0" applyBorder="1"/>
    <xf numFmtId="0" fontId="15" fillId="0" borderId="19" xfId="0" applyFont="1" applyBorder="1" applyAlignment="1">
      <alignment horizontal="center" vertical="center"/>
    </xf>
    <xf numFmtId="44" fontId="15" fillId="0" borderId="19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8" fillId="13" borderId="22" xfId="0" applyFont="1" applyFill="1" applyBorder="1" applyAlignment="1">
      <alignment vertical="justify"/>
    </xf>
    <xf numFmtId="44" fontId="8" fillId="13" borderId="22" xfId="0" applyNumberFormat="1" applyFont="1" applyFill="1" applyBorder="1"/>
    <xf numFmtId="0" fontId="8" fillId="14" borderId="31" xfId="0" applyFont="1" applyFill="1" applyBorder="1" applyAlignment="1">
      <alignment horizontal="center" vertical="center"/>
    </xf>
    <xf numFmtId="44" fontId="8" fillId="14" borderId="17" xfId="0" applyNumberFormat="1" applyFont="1" applyFill="1" applyBorder="1" applyAlignment="1">
      <alignment vertical="center"/>
    </xf>
    <xf numFmtId="0" fontId="0" fillId="0" borderId="16" xfId="0" applyBorder="1" applyAlignment="1">
      <alignment vertical="justify"/>
    </xf>
    <xf numFmtId="0" fontId="9" fillId="11" borderId="54" xfId="0" applyFont="1" applyFill="1" applyBorder="1" applyAlignment="1">
      <alignment horizontal="center" vertical="center"/>
    </xf>
    <xf numFmtId="171" fontId="9" fillId="11" borderId="4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4" fontId="8" fillId="8" borderId="42" xfId="0" applyNumberFormat="1" applyFont="1" applyFill="1" applyBorder="1" applyAlignment="1">
      <alignment horizontal="center" vertical="center"/>
    </xf>
    <xf numFmtId="3" fontId="0" fillId="0" borderId="42" xfId="0" applyNumberFormat="1" applyBorder="1" applyAlignment="1">
      <alignment horizontal="center"/>
    </xf>
    <xf numFmtId="170" fontId="0" fillId="0" borderId="44" xfId="0" applyNumberFormat="1" applyBorder="1"/>
    <xf numFmtId="170" fontId="0" fillId="0" borderId="30" xfId="0" applyNumberFormat="1" applyBorder="1"/>
    <xf numFmtId="171" fontId="0" fillId="0" borderId="30" xfId="0" applyNumberFormat="1" applyBorder="1"/>
    <xf numFmtId="170" fontId="0" fillId="0" borderId="61" xfId="0" applyNumberFormat="1" applyBorder="1"/>
    <xf numFmtId="170" fontId="8" fillId="0" borderId="38" xfId="2" applyNumberFormat="1" applyFont="1" applyFill="1" applyBorder="1" applyAlignment="1">
      <alignment vertical="center"/>
    </xf>
    <xf numFmtId="171" fontId="8" fillId="0" borderId="38" xfId="0" applyNumberFormat="1" applyFont="1" applyBorder="1" applyAlignment="1">
      <alignment vertical="center"/>
    </xf>
    <xf numFmtId="49" fontId="0" fillId="0" borderId="42" xfId="0" applyNumberFormat="1" applyBorder="1" applyAlignment="1">
      <alignment horizontal="center"/>
    </xf>
    <xf numFmtId="4" fontId="0" fillId="10" borderId="44" xfId="0" applyNumberFormat="1" applyFill="1" applyBorder="1"/>
    <xf numFmtId="44" fontId="8" fillId="6" borderId="30" xfId="0" applyNumberFormat="1" applyFont="1" applyFill="1" applyBorder="1"/>
    <xf numFmtId="44" fontId="8" fillId="0" borderId="30" xfId="0" applyNumberFormat="1" applyFont="1" applyBorder="1"/>
    <xf numFmtId="0" fontId="0" fillId="10" borderId="30" xfId="0" applyFill="1" applyBorder="1"/>
    <xf numFmtId="4" fontId="0" fillId="0" borderId="30" xfId="0" applyNumberFormat="1" applyBorder="1"/>
    <xf numFmtId="0" fontId="8" fillId="10" borderId="30" xfId="0" applyFont="1" applyFill="1" applyBorder="1"/>
    <xf numFmtId="44" fontId="8" fillId="6" borderId="61" xfId="0" applyNumberFormat="1" applyFont="1" applyFill="1" applyBorder="1"/>
    <xf numFmtId="171" fontId="0" fillId="0" borderId="30" xfId="0" applyNumberFormat="1" applyBorder="1" applyAlignment="1">
      <alignment horizontal="right"/>
    </xf>
    <xf numFmtId="0" fontId="8" fillId="10" borderId="45" xfId="0" applyFont="1" applyFill="1" applyBorder="1"/>
    <xf numFmtId="171" fontId="0" fillId="0" borderId="48" xfId="0" applyNumberFormat="1" applyBorder="1" applyAlignment="1">
      <alignment horizontal="right"/>
    </xf>
    <xf numFmtId="44" fontId="8" fillId="6" borderId="53" xfId="0" applyNumberFormat="1" applyFont="1" applyFill="1" applyBorder="1"/>
    <xf numFmtId="44" fontId="8" fillId="11" borderId="42" xfId="0" applyNumberFormat="1" applyFont="1" applyFill="1" applyBorder="1"/>
    <xf numFmtId="44" fontId="8" fillId="12" borderId="42" xfId="0" applyNumberFormat="1" applyFont="1" applyFill="1" applyBorder="1" applyAlignment="1">
      <alignment vertical="center"/>
    </xf>
    <xf numFmtId="1" fontId="0" fillId="0" borderId="42" xfId="0" applyNumberFormat="1" applyBorder="1" applyAlignment="1">
      <alignment horizontal="center" vertical="justify"/>
    </xf>
    <xf numFmtId="0" fontId="8" fillId="10" borderId="44" xfId="0" applyFont="1" applyFill="1" applyBorder="1"/>
    <xf numFmtId="171" fontId="8" fillId="6" borderId="30" xfId="2" applyNumberFormat="1" applyFont="1" applyFill="1" applyBorder="1" applyAlignment="1">
      <alignment vertical="justify"/>
    </xf>
    <xf numFmtId="171" fontId="8" fillId="6" borderId="30" xfId="0" applyNumberFormat="1" applyFont="1" applyFill="1" applyBorder="1"/>
    <xf numFmtId="4" fontId="8" fillId="6" borderId="30" xfId="0" applyNumberFormat="1" applyFont="1" applyFill="1" applyBorder="1"/>
    <xf numFmtId="171" fontId="0" fillId="0" borderId="48" xfId="0" applyNumberFormat="1" applyBorder="1"/>
    <xf numFmtId="44" fontId="8" fillId="14" borderId="42" xfId="0" applyNumberFormat="1" applyFont="1" applyFill="1" applyBorder="1" applyAlignment="1">
      <alignment horizontal="center" vertical="center"/>
    </xf>
    <xf numFmtId="171" fontId="8" fillId="13" borderId="44" xfId="0" applyNumberFormat="1" applyFont="1" applyFill="1" applyBorder="1" applyAlignment="1">
      <alignment wrapText="1"/>
    </xf>
    <xf numFmtId="171" fontId="0" fillId="0" borderId="30" xfId="0" applyNumberFormat="1" applyBorder="1" applyAlignment="1">
      <alignment wrapText="1"/>
    </xf>
    <xf numFmtId="171" fontId="0" fillId="0" borderId="30" xfId="0" applyNumberFormat="1" applyBorder="1" applyAlignment="1">
      <alignment horizontal="right" wrapText="1"/>
    </xf>
    <xf numFmtId="171" fontId="0" fillId="0" borderId="45" xfId="0" applyNumberFormat="1" applyBorder="1" applyAlignment="1">
      <alignment horizontal="right" wrapText="1"/>
    </xf>
    <xf numFmtId="44" fontId="8" fillId="13" borderId="45" xfId="0" applyNumberFormat="1" applyFont="1" applyFill="1" applyBorder="1"/>
    <xf numFmtId="44" fontId="8" fillId="13" borderId="30" xfId="0" applyNumberFormat="1" applyFont="1" applyFill="1" applyBorder="1"/>
    <xf numFmtId="4" fontId="0" fillId="0" borderId="30" xfId="0" applyNumberFormat="1" applyBorder="1" applyAlignment="1">
      <alignment wrapText="1"/>
    </xf>
    <xf numFmtId="44" fontId="8" fillId="13" borderId="48" xfId="0" applyNumberFormat="1" applyFont="1" applyFill="1" applyBorder="1"/>
    <xf numFmtId="44" fontId="8" fillId="13" borderId="61" xfId="0" applyNumberFormat="1" applyFont="1" applyFill="1" applyBorder="1"/>
    <xf numFmtId="44" fontId="8" fillId="11" borderId="42" xfId="0" applyNumberFormat="1" applyFont="1" applyFill="1" applyBorder="1" applyAlignment="1">
      <alignment vertical="center"/>
    </xf>
    <xf numFmtId="44" fontId="8" fillId="14" borderId="42" xfId="0" applyNumberFormat="1" applyFont="1" applyFill="1" applyBorder="1" applyAlignment="1">
      <alignment vertical="center"/>
    </xf>
    <xf numFmtId="171" fontId="9" fillId="11" borderId="53" xfId="0" applyNumberFormat="1" applyFont="1" applyFill="1" applyBorder="1" applyAlignment="1">
      <alignment horizontal="center" vertical="center"/>
    </xf>
    <xf numFmtId="170" fontId="8" fillId="0" borderId="42" xfId="0" applyNumberFormat="1" applyFont="1" applyBorder="1" applyAlignment="1">
      <alignment horizontal="right"/>
    </xf>
    <xf numFmtId="170" fontId="0" fillId="0" borderId="24" xfId="0" applyNumberFormat="1" applyBorder="1"/>
    <xf numFmtId="170" fontId="0" fillId="0" borderId="48" xfId="0" applyNumberFormat="1" applyBorder="1"/>
    <xf numFmtId="4" fontId="0" fillId="0" borderId="44" xfId="0" applyNumberFormat="1" applyBorder="1"/>
    <xf numFmtId="4" fontId="8" fillId="0" borderId="44" xfId="0" applyNumberFormat="1" applyFont="1" applyBorder="1"/>
    <xf numFmtId="171" fontId="0" fillId="0" borderId="1" xfId="0" applyNumberFormat="1" applyFont="1" applyBorder="1"/>
    <xf numFmtId="4" fontId="25" fillId="0" borderId="1" xfId="1" applyNumberFormat="1" applyFont="1" applyBorder="1"/>
    <xf numFmtId="4" fontId="25" fillId="0" borderId="18" xfId="0" applyNumberFormat="1" applyFont="1" applyBorder="1" applyAlignment="1">
      <alignment horizontal="right" vertical="center"/>
    </xf>
    <xf numFmtId="4" fontId="25" fillId="0" borderId="1" xfId="0" applyNumberFormat="1" applyFont="1" applyBorder="1" applyAlignment="1">
      <alignment horizontal="right" vertical="center"/>
    </xf>
    <xf numFmtId="44" fontId="9" fillId="0" borderId="35" xfId="0" applyNumberFormat="1" applyFont="1" applyBorder="1" applyAlignment="1">
      <alignment horizontal="right"/>
    </xf>
    <xf numFmtId="165" fontId="0" fillId="0" borderId="18" xfId="0" applyNumberFormat="1" applyBorder="1" applyAlignment="1"/>
    <xf numFmtId="44" fontId="9" fillId="0" borderId="2" xfId="5" applyFont="1" applyFill="1" applyBorder="1"/>
    <xf numFmtId="44" fontId="34" fillId="0" borderId="2" xfId="5" applyFont="1" applyFill="1" applyBorder="1"/>
    <xf numFmtId="0" fontId="4" fillId="0" borderId="54" xfId="1" applyBorder="1"/>
    <xf numFmtId="171" fontId="0" fillId="0" borderId="47" xfId="0" applyNumberFormat="1" applyBorder="1"/>
    <xf numFmtId="4" fontId="4" fillId="0" borderId="47" xfId="1" applyNumberFormat="1" applyBorder="1"/>
    <xf numFmtId="171" fontId="0" fillId="0" borderId="55" xfId="0" applyNumberFormat="1" applyBorder="1"/>
    <xf numFmtId="170" fontId="0" fillId="0" borderId="1" xfId="0" applyNumberFormat="1" applyFont="1" applyBorder="1"/>
    <xf numFmtId="44" fontId="9" fillId="0" borderId="27" xfId="0" applyNumberFormat="1" applyFont="1" applyBorder="1"/>
    <xf numFmtId="44" fontId="35" fillId="0" borderId="62" xfId="0" applyNumberFormat="1" applyFont="1" applyBorder="1"/>
    <xf numFmtId="44" fontId="9" fillId="0" borderId="62" xfId="0" applyNumberFormat="1" applyFont="1" applyBorder="1"/>
    <xf numFmtId="44" fontId="31" fillId="0" borderId="62" xfId="5" applyFont="1" applyBorder="1"/>
    <xf numFmtId="0" fontId="8" fillId="0" borderId="49" xfId="0" applyFont="1" applyBorder="1"/>
    <xf numFmtId="0" fontId="8" fillId="0" borderId="41" xfId="0" applyFont="1" applyFill="1" applyBorder="1"/>
    <xf numFmtId="0" fontId="8" fillId="0" borderId="49" xfId="0" applyFont="1" applyFill="1" applyBorder="1"/>
    <xf numFmtId="165" fontId="8" fillId="0" borderId="1" xfId="2" applyFont="1" applyFill="1" applyBorder="1" applyAlignment="1">
      <alignment horizontal="right"/>
    </xf>
    <xf numFmtId="0" fontId="4" fillId="0" borderId="22" xfId="1" applyBorder="1" applyAlignment="1">
      <alignment horizontal="right"/>
    </xf>
    <xf numFmtId="165" fontId="8" fillId="0" borderId="17" xfId="2" applyFont="1" applyFill="1" applyBorder="1" applyAlignment="1">
      <alignment horizontal="right"/>
    </xf>
    <xf numFmtId="171" fontId="0" fillId="0" borderId="1" xfId="0" applyNumberFormat="1" applyFont="1" applyBorder="1" applyAlignment="1">
      <alignment wrapText="1"/>
    </xf>
    <xf numFmtId="4" fontId="0" fillId="6" borderId="30" xfId="0" applyNumberFormat="1" applyFill="1" applyBorder="1"/>
    <xf numFmtId="4" fontId="8" fillId="11" borderId="30" xfId="0" applyNumberFormat="1" applyFont="1" applyFill="1" applyBorder="1"/>
    <xf numFmtId="168" fontId="8" fillId="11" borderId="19" xfId="0" applyNumberFormat="1" applyFont="1" applyFill="1" applyBorder="1"/>
    <xf numFmtId="4" fontId="0" fillId="13" borderId="30" xfId="0" applyNumberFormat="1" applyFill="1" applyBorder="1"/>
    <xf numFmtId="168" fontId="8" fillId="12" borderId="62" xfId="0" applyNumberFormat="1" applyFont="1" applyFill="1" applyBorder="1" applyAlignment="1">
      <alignment vertical="center"/>
    </xf>
    <xf numFmtId="4" fontId="0" fillId="0" borderId="48" xfId="0" applyNumberFormat="1" applyBorder="1"/>
    <xf numFmtId="4" fontId="0" fillId="0" borderId="45" xfId="0" applyNumberFormat="1" applyBorder="1"/>
    <xf numFmtId="4" fontId="8" fillId="12" borderId="41" xfId="0" applyNumberFormat="1" applyFont="1" applyFill="1" applyBorder="1"/>
    <xf numFmtId="4" fontId="0" fillId="0" borderId="29" xfId="0" applyNumberFormat="1" applyBorder="1" applyAlignment="1">
      <alignment horizontal="right"/>
    </xf>
    <xf numFmtId="4" fontId="8" fillId="0" borderId="21" xfId="0" applyNumberFormat="1" applyFont="1" applyBorder="1" applyAlignment="1">
      <alignment horizontal="right"/>
    </xf>
    <xf numFmtId="4" fontId="0" fillId="0" borderId="21" xfId="0" quotePrefix="1" applyNumberFormat="1" applyBorder="1" applyAlignment="1">
      <alignment horizontal="center"/>
    </xf>
    <xf numFmtId="168" fontId="8" fillId="16" borderId="25" xfId="2" applyNumberFormat="1" applyFont="1" applyFill="1" applyBorder="1" applyAlignment="1">
      <alignment horizontal="right"/>
    </xf>
    <xf numFmtId="165" fontId="5" fillId="16" borderId="34" xfId="2" applyFont="1" applyFill="1" applyBorder="1" applyAlignment="1">
      <alignment horizontal="center" vertical="center"/>
    </xf>
    <xf numFmtId="165" fontId="5" fillId="16" borderId="35" xfId="2" applyFont="1" applyFill="1" applyBorder="1" applyAlignment="1">
      <alignment horizontal="center" vertical="center"/>
    </xf>
    <xf numFmtId="165" fontId="6" fillId="16" borderId="35" xfId="2" applyFont="1" applyFill="1" applyBorder="1" applyAlignment="1">
      <alignment horizontal="left" vertical="center"/>
    </xf>
    <xf numFmtId="44" fontId="8" fillId="16" borderId="35" xfId="2" applyNumberFormat="1" applyFont="1" applyFill="1" applyBorder="1" applyAlignment="1">
      <alignment horizontal="right"/>
    </xf>
    <xf numFmtId="44" fontId="8" fillId="16" borderId="38" xfId="2" applyNumberFormat="1" applyFont="1" applyFill="1" applyBorder="1" applyAlignment="1">
      <alignment horizontal="right"/>
    </xf>
    <xf numFmtId="4" fontId="8" fillId="16" borderId="45" xfId="0" applyNumberFormat="1" applyFont="1" applyFill="1" applyBorder="1"/>
    <xf numFmtId="4" fontId="0" fillId="6" borderId="22" xfId="0" applyNumberFormat="1" applyFill="1" applyBorder="1"/>
    <xf numFmtId="4" fontId="8" fillId="6" borderId="10" xfId="0" applyNumberFormat="1" applyFont="1" applyFill="1" applyBorder="1"/>
    <xf numFmtId="171" fontId="8" fillId="9" borderId="17" xfId="0" applyNumberFormat="1" applyFont="1" applyFill="1" applyBorder="1"/>
    <xf numFmtId="171" fontId="8" fillId="9" borderId="42" xfId="0" applyNumberFormat="1" applyFont="1" applyFill="1" applyBorder="1"/>
    <xf numFmtId="4" fontId="8" fillId="9" borderId="30" xfId="0" applyNumberFormat="1" applyFont="1" applyFill="1" applyBorder="1"/>
    <xf numFmtId="4" fontId="8" fillId="0" borderId="30" xfId="0" applyNumberFormat="1" applyFont="1" applyBorder="1"/>
    <xf numFmtId="4" fontId="0" fillId="13" borderId="10" xfId="0" applyNumberFormat="1" applyFill="1" applyBorder="1"/>
    <xf numFmtId="4" fontId="0" fillId="13" borderId="44" xfId="0" applyNumberFormat="1" applyFill="1" applyBorder="1"/>
    <xf numFmtId="4" fontId="0" fillId="13" borderId="18" xfId="0" applyNumberFormat="1" applyFill="1" applyBorder="1"/>
    <xf numFmtId="4" fontId="0" fillId="13" borderId="1" xfId="0" applyNumberFormat="1" applyFill="1" applyBorder="1"/>
    <xf numFmtId="4" fontId="0" fillId="0" borderId="23" xfId="0" applyNumberFormat="1" applyBorder="1"/>
    <xf numFmtId="4" fontId="0" fillId="0" borderId="43" xfId="0" applyNumberFormat="1" applyBorder="1"/>
    <xf numFmtId="4" fontId="0" fillId="13" borderId="48" xfId="0" applyNumberFormat="1" applyFill="1" applyBorder="1"/>
    <xf numFmtId="4" fontId="0" fillId="13" borderId="24" xfId="0" applyNumberFormat="1" applyFill="1" applyBorder="1"/>
    <xf numFmtId="4" fontId="8" fillId="11" borderId="43" xfId="0" applyNumberFormat="1" applyFont="1" applyFill="1" applyBorder="1"/>
    <xf numFmtId="4" fontId="8" fillId="11" borderId="19" xfId="0" applyNumberFormat="1" applyFont="1" applyFill="1" applyBorder="1"/>
    <xf numFmtId="4" fontId="0" fillId="0" borderId="39" xfId="0" applyNumberFormat="1" applyBorder="1"/>
    <xf numFmtId="4" fontId="0" fillId="0" borderId="63" xfId="0" applyNumberFormat="1" applyBorder="1"/>
    <xf numFmtId="4" fontId="0" fillId="0" borderId="34" xfId="0" applyNumberFormat="1" applyBorder="1"/>
    <xf numFmtId="4" fontId="8" fillId="0" borderId="27" xfId="0" applyNumberFormat="1" applyFont="1" applyBorder="1"/>
    <xf numFmtId="4" fontId="8" fillId="11" borderId="31" xfId="0" applyNumberFormat="1" applyFont="1" applyFill="1" applyBorder="1"/>
    <xf numFmtId="4" fontId="8" fillId="11" borderId="62" xfId="0" applyNumberFormat="1" applyFont="1" applyFill="1" applyBorder="1"/>
    <xf numFmtId="4" fontId="8" fillId="14" borderId="40" xfId="0" applyNumberFormat="1" applyFont="1" applyFill="1" applyBorder="1"/>
    <xf numFmtId="4" fontId="8" fillId="14" borderId="28" xfId="0" applyNumberFormat="1" applyFont="1" applyFill="1" applyBorder="1"/>
    <xf numFmtId="4" fontId="0" fillId="15" borderId="30" xfId="0" applyNumberFormat="1" applyFill="1" applyBorder="1"/>
    <xf numFmtId="0" fontId="0" fillId="17" borderId="52" xfId="0" applyFill="1" applyBorder="1" applyAlignment="1">
      <alignment horizontal="center"/>
    </xf>
    <xf numFmtId="0" fontId="8" fillId="17" borderId="5" xfId="0" applyFont="1" applyFill="1" applyBorder="1" applyAlignment="1">
      <alignment vertical="center"/>
    </xf>
    <xf numFmtId="165" fontId="8" fillId="17" borderId="5" xfId="2" applyFont="1" applyFill="1" applyBorder="1" applyAlignment="1">
      <alignment horizontal="right" vertical="center"/>
    </xf>
    <xf numFmtId="170" fontId="8" fillId="17" borderId="35" xfId="2" applyNumberFormat="1" applyFont="1" applyFill="1" applyBorder="1" applyAlignment="1">
      <alignment vertical="center"/>
    </xf>
    <xf numFmtId="170" fontId="8" fillId="17" borderId="38" xfId="2" applyNumberFormat="1" applyFont="1" applyFill="1" applyBorder="1" applyAlignment="1">
      <alignment vertical="center"/>
    </xf>
    <xf numFmtId="0" fontId="0" fillId="17" borderId="0" xfId="0" applyFill="1" applyBorder="1" applyAlignment="1">
      <alignment horizontal="center"/>
    </xf>
    <xf numFmtId="0" fontId="8" fillId="17" borderId="0" xfId="0" applyFont="1" applyFill="1" applyBorder="1" applyAlignment="1">
      <alignment vertical="center"/>
    </xf>
    <xf numFmtId="165" fontId="8" fillId="17" borderId="0" xfId="2" applyFont="1" applyFill="1" applyBorder="1" applyAlignment="1">
      <alignment horizontal="right" vertical="center"/>
    </xf>
    <xf numFmtId="170" fontId="8" fillId="17" borderId="0" xfId="2" applyNumberFormat="1" applyFont="1" applyFill="1" applyBorder="1" applyAlignment="1">
      <alignment vertical="center"/>
    </xf>
    <xf numFmtId="4" fontId="8" fillId="17" borderId="0" xfId="0" applyNumberFormat="1" applyFont="1" applyFill="1" applyBorder="1"/>
    <xf numFmtId="4" fontId="8" fillId="17" borderId="0" xfId="0" applyNumberFormat="1" applyFont="1" applyFill="1" applyBorder="1" applyAlignment="1">
      <alignment horizontal="right"/>
    </xf>
    <xf numFmtId="4" fontId="8" fillId="17" borderId="42" xfId="0" applyNumberFormat="1" applyFont="1" applyFill="1" applyBorder="1"/>
    <xf numFmtId="4" fontId="8" fillId="17" borderId="19" xfId="0" applyNumberFormat="1" applyFont="1" applyFill="1" applyBorder="1" applyAlignment="1">
      <alignment horizontal="right"/>
    </xf>
    <xf numFmtId="168" fontId="8" fillId="3" borderId="10" xfId="0" applyNumberFormat="1" applyFont="1" applyFill="1" applyBorder="1"/>
    <xf numFmtId="4" fontId="8" fillId="0" borderId="10" xfId="0" applyNumberFormat="1" applyFont="1" applyBorder="1"/>
    <xf numFmtId="168" fontId="0" fillId="3" borderId="10" xfId="0" applyNumberFormat="1" applyFont="1" applyFill="1" applyBorder="1"/>
    <xf numFmtId="0" fontId="8" fillId="13" borderId="30" xfId="0" applyFont="1" applyFill="1" applyBorder="1" applyAlignment="1">
      <alignment horizontal="center" vertical="justify"/>
    </xf>
    <xf numFmtId="0" fontId="8" fillId="13" borderId="2" xfId="0" applyFont="1" applyFill="1" applyBorder="1" applyAlignment="1">
      <alignment horizontal="center" vertical="justify"/>
    </xf>
    <xf numFmtId="165" fontId="8" fillId="6" borderId="43" xfId="2" applyFont="1" applyFill="1" applyBorder="1" applyAlignment="1">
      <alignment horizontal="right" vertical="center"/>
    </xf>
    <xf numFmtId="165" fontId="8" fillId="6" borderId="37" xfId="2" applyFont="1" applyFill="1" applyBorder="1" applyAlignment="1">
      <alignment horizontal="right" vertical="center"/>
    </xf>
    <xf numFmtId="165" fontId="8" fillId="6" borderId="12" xfId="2" applyFont="1" applyFill="1" applyBorder="1" applyAlignment="1">
      <alignment horizontal="right" vertical="center"/>
    </xf>
    <xf numFmtId="49" fontId="0" fillId="0" borderId="54" xfId="0" applyNumberFormat="1" applyBorder="1" applyAlignment="1">
      <alignment horizontal="center" vertical="center"/>
    </xf>
    <xf numFmtId="49" fontId="0" fillId="0" borderId="58" xfId="0" applyNumberFormat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8" fillId="13" borderId="44" xfId="0" applyFont="1" applyFill="1" applyBorder="1" applyAlignment="1">
      <alignment horizontal="center" vertical="justify"/>
    </xf>
    <xf numFmtId="0" fontId="8" fillId="13" borderId="13" xfId="0" applyFont="1" applyFill="1" applyBorder="1" applyAlignment="1">
      <alignment horizontal="center" vertical="justify"/>
    </xf>
    <xf numFmtId="0" fontId="0" fillId="0" borderId="3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5" fillId="8" borderId="42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165" fontId="8" fillId="8" borderId="43" xfId="2" applyFont="1" applyFill="1" applyBorder="1" applyAlignment="1">
      <alignment horizontal="left" vertical="center"/>
    </xf>
    <xf numFmtId="165" fontId="8" fillId="8" borderId="37" xfId="2" applyFont="1" applyFill="1" applyBorder="1" applyAlignment="1">
      <alignment horizontal="left" vertical="center"/>
    </xf>
    <xf numFmtId="165" fontId="8" fillId="8" borderId="5" xfId="2" applyFont="1" applyFill="1" applyBorder="1" applyAlignment="1">
      <alignment horizontal="left" vertical="center"/>
    </xf>
    <xf numFmtId="165" fontId="8" fillId="8" borderId="27" xfId="2" applyFont="1" applyFill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8" fillId="12" borderId="37" xfId="2" applyFont="1" applyFill="1" applyBorder="1" applyAlignment="1">
      <alignment horizontal="right" vertical="justify"/>
    </xf>
    <xf numFmtId="165" fontId="8" fillId="6" borderId="9" xfId="2" applyFont="1" applyFill="1" applyBorder="1" applyAlignment="1">
      <alignment horizontal="center" vertical="justify"/>
    </xf>
    <xf numFmtId="165" fontId="8" fillId="6" borderId="1" xfId="2" applyFont="1" applyFill="1" applyBorder="1" applyAlignment="1">
      <alignment horizontal="center" vertical="justify"/>
    </xf>
    <xf numFmtId="165" fontId="8" fillId="0" borderId="37" xfId="2" applyFont="1" applyFill="1" applyBorder="1" applyAlignment="1">
      <alignment horizontal="right" vertical="center"/>
    </xf>
    <xf numFmtId="165" fontId="8" fillId="0" borderId="12" xfId="2" applyFont="1" applyFill="1" applyBorder="1" applyAlignment="1">
      <alignment horizontal="right" vertical="center"/>
    </xf>
    <xf numFmtId="165" fontId="8" fillId="0" borderId="52" xfId="2" applyFont="1" applyFill="1" applyBorder="1" applyAlignment="1">
      <alignment horizontal="right" vertical="center"/>
    </xf>
    <xf numFmtId="165" fontId="8" fillId="0" borderId="5" xfId="2" applyFont="1" applyFill="1" applyBorder="1" applyAlignment="1">
      <alignment horizontal="right" vertical="center"/>
    </xf>
    <xf numFmtId="165" fontId="8" fillId="0" borderId="14" xfId="2" applyFont="1" applyFill="1" applyBorder="1" applyAlignment="1">
      <alignment horizontal="right" vertical="center"/>
    </xf>
    <xf numFmtId="165" fontId="6" fillId="12" borderId="43" xfId="2" applyFont="1" applyFill="1" applyBorder="1" applyAlignment="1">
      <alignment horizontal="center" vertical="center"/>
    </xf>
    <xf numFmtId="165" fontId="6" fillId="12" borderId="37" xfId="2" applyFont="1" applyFill="1" applyBorder="1" applyAlignment="1">
      <alignment horizontal="center" vertical="center"/>
    </xf>
    <xf numFmtId="165" fontId="6" fillId="12" borderId="12" xfId="2" applyFont="1" applyFill="1" applyBorder="1" applyAlignment="1">
      <alignment horizontal="center" vertical="center"/>
    </xf>
    <xf numFmtId="165" fontId="5" fillId="12" borderId="43" xfId="2" applyFont="1" applyFill="1" applyBorder="1" applyAlignment="1">
      <alignment horizontal="center" vertical="center"/>
    </xf>
    <xf numFmtId="165" fontId="5" fillId="12" borderId="37" xfId="2" applyFont="1" applyFill="1" applyBorder="1" applyAlignment="1">
      <alignment horizontal="center" vertical="center"/>
    </xf>
    <xf numFmtId="165" fontId="5" fillId="12" borderId="12" xfId="2" applyFont="1" applyFill="1" applyBorder="1" applyAlignment="1">
      <alignment horizontal="center" vertical="center"/>
    </xf>
    <xf numFmtId="0" fontId="9" fillId="0" borderId="43" xfId="1" applyFont="1" applyBorder="1" applyAlignment="1">
      <alignment horizontal="center"/>
    </xf>
    <xf numFmtId="0" fontId="9" fillId="0" borderId="12" xfId="1" applyFont="1" applyBorder="1" applyAlignment="1">
      <alignment horizontal="center"/>
    </xf>
  </cellXfs>
  <cellStyles count="10">
    <cellStyle name="40 % – Poudarek4" xfId="4" builtinId="43"/>
    <cellStyle name="40 % – Poudarek4 2" xfId="6"/>
    <cellStyle name="Navadno" xfId="0" builtinId="0"/>
    <cellStyle name="Navadno 2" xfId="7"/>
    <cellStyle name="Navadno 3" xfId="9"/>
    <cellStyle name="Normal_Sheet1" xfId="1"/>
    <cellStyle name="Slabo" xfId="3" builtinId="27"/>
    <cellStyle name="Valuta" xfId="5" builtinId="4"/>
    <cellStyle name="Vejica" xfId="2" builtinId="3"/>
    <cellStyle name="Vejica 2" xfId="8"/>
  </cellStyles>
  <dxfs count="0"/>
  <tableStyles count="0" defaultTableStyle="TableStyleMedium9" defaultPivotStyle="PivotStyleLight16"/>
  <colors>
    <mruColors>
      <color rgb="FF62F882"/>
      <color rgb="FFFFFF99"/>
      <color rgb="FF08A82A"/>
      <color rgb="FF09C732"/>
      <color rgb="FF11FF7D"/>
      <color rgb="FF00E6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539750</xdr:colOff>
      <xdr:row>0</xdr:row>
      <xdr:rowOff>234683</xdr:rowOff>
    </xdr:from>
    <xdr:to>
      <xdr:col>8</xdr:col>
      <xdr:colOff>0</xdr:colOff>
      <xdr:row>2</xdr:row>
      <xdr:rowOff>100012</xdr:rowOff>
    </xdr:to>
    <xdr:pic>
      <xdr:nvPicPr>
        <xdr:cNvPr id="2" name="Slika 1">
          <a:extLst>
            <a:ext uri="{FF2B5EF4-FFF2-40B4-BE49-F238E27FC236}">
              <a16:creationId xmlns="" xmlns:a16="http://schemas.microsoft.com/office/drawing/2014/main" id="{A7292ECA-32C1-253C-FC67-9F0B95F93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2250" y="234683"/>
          <a:ext cx="1603375" cy="360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V231"/>
  <sheetViews>
    <sheetView showGridLines="0" tabSelected="1" view="pageBreakPreview" topLeftCell="A200" zoomScale="120" zoomScaleNormal="120" zoomScaleSheetLayoutView="120" workbookViewId="0">
      <selection activeCell="G210" sqref="G210"/>
    </sheetView>
  </sheetViews>
  <sheetFormatPr defaultRowHeight="12.75" x14ac:dyDescent="0.2"/>
  <cols>
    <col min="1" max="1" width="4.28515625" customWidth="1"/>
    <col min="2" max="2" width="8.7109375" customWidth="1"/>
    <col min="3" max="3" width="19.5703125" customWidth="1"/>
    <col min="4" max="4" width="55.5703125" style="4" customWidth="1"/>
    <col min="5" max="5" width="18.85546875" style="5" customWidth="1"/>
    <col min="6" max="6" width="21.7109375" style="5" customWidth="1"/>
    <col min="7" max="7" width="19.7109375" style="5" customWidth="1"/>
    <col min="8" max="8" width="13.28515625" style="5" customWidth="1"/>
    <col min="9" max="9" width="12.42578125" style="5" customWidth="1"/>
    <col min="10" max="10" width="14.140625" hidden="1" customWidth="1"/>
    <col min="11" max="11" width="14.140625" customWidth="1"/>
    <col min="12" max="12" width="18.85546875" customWidth="1"/>
    <col min="13" max="13" width="13.140625" bestFit="1" customWidth="1"/>
    <col min="14" max="14" width="40.5703125" bestFit="1" customWidth="1"/>
    <col min="15" max="15" width="13.140625" bestFit="1" customWidth="1"/>
    <col min="16" max="16" width="10" bestFit="1" customWidth="1"/>
  </cols>
  <sheetData>
    <row r="1" spans="1:14" ht="19.5" customHeight="1" x14ac:dyDescent="0.25">
      <c r="B1" s="633" t="s">
        <v>2</v>
      </c>
      <c r="C1" s="633"/>
      <c r="D1" s="633"/>
      <c r="E1" s="633"/>
      <c r="F1" s="633"/>
      <c r="G1" s="633"/>
      <c r="H1" s="633"/>
      <c r="I1" s="633"/>
      <c r="J1" s="49"/>
      <c r="K1" s="49"/>
      <c r="L1" s="49"/>
    </row>
    <row r="2" spans="1:14" ht="20.25" customHeight="1" x14ac:dyDescent="0.25">
      <c r="A2" s="55"/>
      <c r="B2" s="633" t="s">
        <v>340</v>
      </c>
      <c r="C2" s="633"/>
      <c r="D2" s="633"/>
      <c r="E2" s="633"/>
      <c r="F2" s="633"/>
      <c r="G2" s="633"/>
      <c r="H2" s="633"/>
      <c r="I2" s="633"/>
      <c r="J2" s="49"/>
      <c r="K2" s="49"/>
      <c r="L2" s="49"/>
    </row>
    <row r="3" spans="1:14" ht="20.25" customHeight="1" thickBot="1" x14ac:dyDescent="0.3">
      <c r="A3" s="55"/>
      <c r="B3" s="298"/>
      <c r="C3" s="164"/>
      <c r="D3" s="164"/>
      <c r="E3" s="164"/>
      <c r="F3" s="164"/>
      <c r="G3" s="484"/>
      <c r="H3" s="484"/>
      <c r="I3" s="164"/>
      <c r="J3" s="164"/>
      <c r="K3" s="484"/>
      <c r="L3" s="484"/>
    </row>
    <row r="4" spans="1:14" ht="39" thickBot="1" x14ac:dyDescent="0.25">
      <c r="B4" s="631" t="s">
        <v>206</v>
      </c>
      <c r="C4" s="632"/>
      <c r="D4" s="295" t="s">
        <v>11</v>
      </c>
      <c r="E4" s="296" t="s">
        <v>137</v>
      </c>
      <c r="F4" s="485" t="s">
        <v>335</v>
      </c>
      <c r="G4" s="485" t="s">
        <v>337</v>
      </c>
      <c r="H4" s="297" t="s">
        <v>336</v>
      </c>
      <c r="I4" s="297" t="s">
        <v>338</v>
      </c>
      <c r="J4" s="256" t="s">
        <v>133</v>
      </c>
      <c r="K4" s="256"/>
      <c r="L4" s="256"/>
    </row>
    <row r="5" spans="1:14" s="10" customFormat="1" ht="15.75" customHeight="1" thickBot="1" x14ac:dyDescent="0.25">
      <c r="B5" s="638"/>
      <c r="C5" s="639"/>
      <c r="D5" s="299">
        <v>1</v>
      </c>
      <c r="E5" s="380">
        <v>2</v>
      </c>
      <c r="F5" s="300">
        <v>3</v>
      </c>
      <c r="G5" s="486">
        <v>4</v>
      </c>
      <c r="H5" s="301" t="s">
        <v>221</v>
      </c>
      <c r="I5" s="301" t="s">
        <v>339</v>
      </c>
    </row>
    <row r="6" spans="1:14" ht="13.5" thickBot="1" x14ac:dyDescent="0.25">
      <c r="B6" s="373" t="s">
        <v>97</v>
      </c>
      <c r="C6" s="374" t="s">
        <v>98</v>
      </c>
      <c r="D6" s="375"/>
      <c r="E6" s="375"/>
      <c r="F6" s="375"/>
      <c r="G6" s="375"/>
      <c r="H6" s="376"/>
      <c r="I6" s="376"/>
      <c r="J6" s="258" t="e">
        <f>+#REF!/E28*100</f>
        <v>#REF!</v>
      </c>
      <c r="K6" s="258"/>
      <c r="L6" s="258"/>
    </row>
    <row r="7" spans="1:14" x14ac:dyDescent="0.2">
      <c r="B7" s="366" t="s">
        <v>89</v>
      </c>
      <c r="C7" s="342">
        <v>3001</v>
      </c>
      <c r="D7" s="367" t="s">
        <v>303</v>
      </c>
      <c r="E7" s="368">
        <v>230000</v>
      </c>
      <c r="F7" s="368">
        <v>230000</v>
      </c>
      <c r="G7" s="487">
        <v>250000</v>
      </c>
      <c r="H7" s="377">
        <f>+F7/E7*100</f>
        <v>100</v>
      </c>
      <c r="I7" s="377">
        <f>+G7/F7*100</f>
        <v>108.69565217391303</v>
      </c>
      <c r="J7" s="157" t="e">
        <f>+#REF!/E7*100</f>
        <v>#REF!</v>
      </c>
      <c r="K7" s="157"/>
      <c r="L7" s="157"/>
      <c r="N7" s="157"/>
    </row>
    <row r="8" spans="1:14" x14ac:dyDescent="0.2">
      <c r="B8" s="332" t="s">
        <v>89</v>
      </c>
      <c r="C8" s="309">
        <v>3003</v>
      </c>
      <c r="D8" s="320" t="s">
        <v>37</v>
      </c>
      <c r="E8" s="365">
        <v>2320.67</v>
      </c>
      <c r="F8" s="365">
        <v>4995.62</v>
      </c>
      <c r="G8" s="488">
        <v>4500</v>
      </c>
      <c r="H8" s="333">
        <f t="shared" ref="H8:H28" si="0">+F8/E8*100</f>
        <v>215.26628085854514</v>
      </c>
      <c r="I8" s="333">
        <f t="shared" ref="I8:I28" si="1">+G8/F8*100</f>
        <v>90.078909124392965</v>
      </c>
      <c r="J8" s="157" t="e">
        <f>+#REF!/E8*100</f>
        <v>#REF!</v>
      </c>
      <c r="K8" s="157"/>
      <c r="L8" s="157"/>
      <c r="N8" s="412"/>
    </row>
    <row r="9" spans="1:14" x14ac:dyDescent="0.2">
      <c r="B9" s="332" t="s">
        <v>89</v>
      </c>
      <c r="C9" s="309">
        <v>3004</v>
      </c>
      <c r="D9" s="320" t="s">
        <v>200</v>
      </c>
      <c r="E9" s="365">
        <v>23000</v>
      </c>
      <c r="F9" s="365">
        <v>26130.91</v>
      </c>
      <c r="G9" s="488">
        <v>26200</v>
      </c>
      <c r="H9" s="465">
        <f t="shared" si="0"/>
        <v>113.61265217391305</v>
      </c>
      <c r="I9" s="465">
        <f t="shared" si="1"/>
        <v>100.26439951765936</v>
      </c>
      <c r="J9" s="157" t="e">
        <f>+#REF!/E9*100</f>
        <v>#REF!</v>
      </c>
      <c r="K9" s="157"/>
      <c r="L9" s="157"/>
      <c r="N9" s="157"/>
    </row>
    <row r="10" spans="1:14" x14ac:dyDescent="0.2">
      <c r="B10" s="332" t="s">
        <v>147</v>
      </c>
      <c r="C10" s="309">
        <v>3007</v>
      </c>
      <c r="D10" s="320" t="s">
        <v>4</v>
      </c>
      <c r="E10" s="365">
        <v>11000</v>
      </c>
      <c r="F10" s="365">
        <v>1527.41</v>
      </c>
      <c r="G10" s="488">
        <v>4000</v>
      </c>
      <c r="H10" s="333">
        <f t="shared" si="0"/>
        <v>13.885545454545456</v>
      </c>
      <c r="I10" s="333">
        <f t="shared" si="1"/>
        <v>261.88122377095868</v>
      </c>
      <c r="J10" s="157" t="e">
        <f>+#REF!/E10*100</f>
        <v>#REF!</v>
      </c>
      <c r="K10" s="157"/>
      <c r="L10" s="157"/>
    </row>
    <row r="11" spans="1:14" x14ac:dyDescent="0.2">
      <c r="B11" s="332" t="s">
        <v>89</v>
      </c>
      <c r="C11" s="309">
        <v>3009</v>
      </c>
      <c r="D11" s="320" t="s">
        <v>35</v>
      </c>
      <c r="E11" s="365">
        <v>79000</v>
      </c>
      <c r="F11" s="365">
        <v>85350</v>
      </c>
      <c r="G11" s="488">
        <v>80000</v>
      </c>
      <c r="H11" s="333">
        <f t="shared" si="0"/>
        <v>108.03797468354431</v>
      </c>
      <c r="I11" s="333">
        <f t="shared" si="1"/>
        <v>93.731693028705337</v>
      </c>
      <c r="J11" s="157" t="e">
        <f>+#REF!/E11*100</f>
        <v>#REF!</v>
      </c>
      <c r="K11" s="157"/>
      <c r="L11" s="157"/>
    </row>
    <row r="12" spans="1:14" ht="13.5" customHeight="1" x14ac:dyDescent="0.2">
      <c r="B12" s="332" t="s">
        <v>148</v>
      </c>
      <c r="C12" s="309">
        <v>3010</v>
      </c>
      <c r="D12" s="320" t="s">
        <v>334</v>
      </c>
      <c r="E12" s="365">
        <v>238900</v>
      </c>
      <c r="F12" s="365">
        <v>231475.06</v>
      </c>
      <c r="G12" s="488">
        <v>239400</v>
      </c>
      <c r="H12" s="333">
        <f t="shared" si="0"/>
        <v>96.892030138133109</v>
      </c>
      <c r="I12" s="333">
        <f t="shared" si="1"/>
        <v>103.42366905531853</v>
      </c>
      <c r="J12" s="157" t="e">
        <f>+#REF!/E12*100</f>
        <v>#REF!</v>
      </c>
      <c r="K12" s="157"/>
      <c r="L12" s="157"/>
      <c r="N12" s="157"/>
    </row>
    <row r="13" spans="1:14" ht="12.75" customHeight="1" x14ac:dyDescent="0.2">
      <c r="B13" s="332" t="s">
        <v>149</v>
      </c>
      <c r="C13" s="309">
        <v>3017</v>
      </c>
      <c r="D13" s="320" t="s">
        <v>201</v>
      </c>
      <c r="E13" s="365">
        <v>22000</v>
      </c>
      <c r="F13" s="365">
        <v>27545.599999999999</v>
      </c>
      <c r="G13" s="488">
        <v>25850</v>
      </c>
      <c r="H13" s="465">
        <f t="shared" si="0"/>
        <v>125.20727272727272</v>
      </c>
      <c r="I13" s="465">
        <f t="shared" si="1"/>
        <v>93.844388940520446</v>
      </c>
      <c r="J13" s="157" t="e">
        <f>+#REF!/E13*100</f>
        <v>#REF!</v>
      </c>
      <c r="K13" s="157"/>
      <c r="L13" s="157"/>
    </row>
    <row r="14" spans="1:14" x14ac:dyDescent="0.2">
      <c r="B14" s="332" t="s">
        <v>89</v>
      </c>
      <c r="C14" s="309">
        <v>3022</v>
      </c>
      <c r="D14" s="320" t="s">
        <v>304</v>
      </c>
      <c r="E14" s="365">
        <v>500</v>
      </c>
      <c r="F14" s="365"/>
      <c r="G14" s="488"/>
      <c r="H14" s="466"/>
      <c r="I14" s="466"/>
      <c r="J14" s="157" t="e">
        <f>+#REF!/E14*100</f>
        <v>#REF!</v>
      </c>
      <c r="K14" s="157"/>
      <c r="L14" s="157"/>
    </row>
    <row r="15" spans="1:14" x14ac:dyDescent="0.2">
      <c r="B15" s="332" t="s">
        <v>89</v>
      </c>
      <c r="C15" s="309">
        <v>3024</v>
      </c>
      <c r="D15" s="320" t="s">
        <v>305</v>
      </c>
      <c r="E15" s="365">
        <v>500</v>
      </c>
      <c r="F15" s="365">
        <v>2112.38</v>
      </c>
      <c r="G15" s="488">
        <v>600</v>
      </c>
      <c r="H15" s="333">
        <f t="shared" si="0"/>
        <v>422.476</v>
      </c>
      <c r="I15" s="333">
        <f t="shared" si="1"/>
        <v>28.4039803444456</v>
      </c>
      <c r="J15" s="157" t="e">
        <f>+#REF!/E15*100</f>
        <v>#REF!</v>
      </c>
      <c r="K15" s="157"/>
      <c r="L15" s="157"/>
    </row>
    <row r="16" spans="1:14" x14ac:dyDescent="0.2">
      <c r="B16" s="332" t="s">
        <v>89</v>
      </c>
      <c r="C16" s="309">
        <v>3027</v>
      </c>
      <c r="D16" s="320" t="s">
        <v>345</v>
      </c>
      <c r="E16" s="365">
        <v>0</v>
      </c>
      <c r="F16" s="186">
        <v>722.9</v>
      </c>
      <c r="G16" s="489"/>
      <c r="H16" s="333"/>
      <c r="I16" s="333"/>
      <c r="J16" s="157" t="e">
        <f>+#REF!/E16*100</f>
        <v>#REF!</v>
      </c>
      <c r="K16" s="157"/>
      <c r="L16" s="157"/>
    </row>
    <row r="17" spans="1:14" ht="13.15" customHeight="1" x14ac:dyDescent="0.2">
      <c r="B17" s="332" t="s">
        <v>89</v>
      </c>
      <c r="C17" s="309">
        <v>3028</v>
      </c>
      <c r="D17" s="320" t="s">
        <v>51</v>
      </c>
      <c r="E17" s="365">
        <v>5000</v>
      </c>
      <c r="F17" s="365">
        <v>4820</v>
      </c>
      <c r="G17" s="488">
        <v>4500</v>
      </c>
      <c r="H17" s="333">
        <f t="shared" si="0"/>
        <v>96.399999999999991</v>
      </c>
      <c r="I17" s="333">
        <f t="shared" si="1"/>
        <v>93.360995850622402</v>
      </c>
      <c r="J17" s="157" t="e">
        <f>+#REF!/E17*100</f>
        <v>#REF!</v>
      </c>
      <c r="K17" s="157"/>
      <c r="L17" s="157"/>
    </row>
    <row r="18" spans="1:14" ht="13.15" customHeight="1" x14ac:dyDescent="0.2">
      <c r="B18" s="315" t="s">
        <v>89</v>
      </c>
      <c r="C18" s="309">
        <v>3103</v>
      </c>
      <c r="D18" s="320" t="s">
        <v>341</v>
      </c>
      <c r="E18" s="365">
        <v>25300</v>
      </c>
      <c r="F18" s="365">
        <v>28033.3</v>
      </c>
      <c r="G18" s="488">
        <v>22000</v>
      </c>
      <c r="H18" s="333">
        <f t="shared" si="0"/>
        <v>110.80355731225295</v>
      </c>
      <c r="I18" s="333">
        <f t="shared" si="1"/>
        <v>78.47809569333613</v>
      </c>
      <c r="J18" s="157" t="e">
        <f>+#REF!/E18*100</f>
        <v>#REF!</v>
      </c>
      <c r="K18" s="157"/>
      <c r="L18" s="157"/>
    </row>
    <row r="19" spans="1:14" ht="13.15" customHeight="1" x14ac:dyDescent="0.2">
      <c r="B19" s="332" t="s">
        <v>89</v>
      </c>
      <c r="C19" s="309">
        <v>3033</v>
      </c>
      <c r="D19" s="320" t="s">
        <v>38</v>
      </c>
      <c r="E19" s="365">
        <v>35997.629999999997</v>
      </c>
      <c r="F19" s="365">
        <v>35997.629999999997</v>
      </c>
      <c r="G19" s="488">
        <v>36000</v>
      </c>
      <c r="H19" s="333">
        <f t="shared" si="0"/>
        <v>100</v>
      </c>
      <c r="I19" s="333">
        <f t="shared" si="1"/>
        <v>100.00658376676466</v>
      </c>
      <c r="J19" s="157" t="e">
        <f>+#REF!/E19*100</f>
        <v>#REF!</v>
      </c>
      <c r="K19" s="157"/>
      <c r="L19" s="157"/>
    </row>
    <row r="20" spans="1:14" ht="13.15" customHeight="1" x14ac:dyDescent="0.2">
      <c r="B20" s="332" t="s">
        <v>89</v>
      </c>
      <c r="C20" s="309">
        <v>3037</v>
      </c>
      <c r="D20" s="320" t="s">
        <v>41</v>
      </c>
      <c r="E20" s="365">
        <v>3888.46</v>
      </c>
      <c r="F20" s="365">
        <v>253.2</v>
      </c>
      <c r="G20" s="488"/>
      <c r="H20" s="333">
        <f t="shared" si="0"/>
        <v>6.5115752765876458</v>
      </c>
      <c r="I20" s="333"/>
      <c r="J20" s="157" t="e">
        <f>+#REF!/E20*100</f>
        <v>#REF!</v>
      </c>
      <c r="K20" s="157"/>
      <c r="L20" s="157"/>
    </row>
    <row r="21" spans="1:14" ht="13.15" customHeight="1" x14ac:dyDescent="0.2">
      <c r="B21" s="332" t="s">
        <v>89</v>
      </c>
      <c r="C21" s="309">
        <v>3034</v>
      </c>
      <c r="D21" s="320" t="s">
        <v>330</v>
      </c>
      <c r="E21" s="365">
        <v>19525</v>
      </c>
      <c r="F21" s="543">
        <v>6405.32</v>
      </c>
      <c r="G21" s="488">
        <v>12000</v>
      </c>
      <c r="H21" s="333">
        <f t="shared" si="0"/>
        <v>32.80573623559539</v>
      </c>
      <c r="I21" s="333">
        <f t="shared" si="1"/>
        <v>187.34427007549974</v>
      </c>
      <c r="J21" s="157" t="e">
        <f>+#REF!/E21*100</f>
        <v>#REF!</v>
      </c>
      <c r="K21" s="157"/>
      <c r="L21" s="157"/>
    </row>
    <row r="22" spans="1:14" ht="13.15" customHeight="1" x14ac:dyDescent="0.2">
      <c r="B22" s="332" t="s">
        <v>89</v>
      </c>
      <c r="C22" s="309">
        <v>3048</v>
      </c>
      <c r="D22" s="320" t="s">
        <v>57</v>
      </c>
      <c r="E22" s="365">
        <v>1000</v>
      </c>
      <c r="F22" s="365">
        <v>1000</v>
      </c>
      <c r="G22" s="488">
        <v>1000</v>
      </c>
      <c r="H22" s="333">
        <f t="shared" si="0"/>
        <v>100</v>
      </c>
      <c r="I22" s="333">
        <f t="shared" si="1"/>
        <v>100</v>
      </c>
      <c r="J22" s="157" t="e">
        <f>+#REF!/E22*100</f>
        <v>#REF!</v>
      </c>
      <c r="K22" s="157"/>
      <c r="L22" s="157"/>
    </row>
    <row r="23" spans="1:14" ht="13.15" customHeight="1" x14ac:dyDescent="0.2">
      <c r="B23" s="332" t="s">
        <v>89</v>
      </c>
      <c r="C23" s="309">
        <v>3049</v>
      </c>
      <c r="D23" s="320" t="s">
        <v>264</v>
      </c>
      <c r="E23" s="543">
        <v>10000</v>
      </c>
      <c r="F23" s="543" t="s">
        <v>362</v>
      </c>
      <c r="G23" s="488"/>
      <c r="H23" s="333"/>
      <c r="I23" s="333"/>
      <c r="J23" s="157" t="e">
        <f>+#REF!/E23*100</f>
        <v>#REF!</v>
      </c>
      <c r="K23" s="157"/>
      <c r="L23" s="157"/>
    </row>
    <row r="24" spans="1:14" ht="13.15" customHeight="1" x14ac:dyDescent="0.2">
      <c r="B24" s="332" t="s">
        <v>89</v>
      </c>
      <c r="C24" s="309">
        <v>2993</v>
      </c>
      <c r="D24" s="320" t="s">
        <v>203</v>
      </c>
      <c r="E24" s="365">
        <v>9000</v>
      </c>
      <c r="F24" s="365">
        <v>10460.57</v>
      </c>
      <c r="G24" s="488">
        <v>10000</v>
      </c>
      <c r="H24" s="333">
        <f t="shared" si="0"/>
        <v>116.22855555555556</v>
      </c>
      <c r="I24" s="333">
        <f t="shared" si="1"/>
        <v>95.597085053682548</v>
      </c>
      <c r="J24" s="157"/>
      <c r="K24" s="157"/>
      <c r="L24" s="157"/>
    </row>
    <row r="25" spans="1:14" ht="13.15" customHeight="1" x14ac:dyDescent="0.2">
      <c r="B25" s="332" t="s">
        <v>89</v>
      </c>
      <c r="C25" s="427">
        <v>36410</v>
      </c>
      <c r="D25" s="410" t="s">
        <v>343</v>
      </c>
      <c r="E25" s="527"/>
      <c r="F25" s="527">
        <v>8585.74</v>
      </c>
      <c r="G25" s="528"/>
      <c r="H25" s="465"/>
      <c r="I25" s="465"/>
      <c r="J25" s="157"/>
      <c r="K25" s="157"/>
      <c r="L25" s="157"/>
    </row>
    <row r="26" spans="1:14" ht="13.15" customHeight="1" x14ac:dyDescent="0.2">
      <c r="B26" s="332" t="s">
        <v>89</v>
      </c>
      <c r="C26" s="427">
        <v>36409</v>
      </c>
      <c r="D26" s="410" t="s">
        <v>342</v>
      </c>
      <c r="E26" s="527"/>
      <c r="F26" s="527">
        <v>1851.15</v>
      </c>
      <c r="G26" s="528">
        <v>1500</v>
      </c>
      <c r="H26" s="333"/>
      <c r="I26" s="333">
        <f t="shared" si="1"/>
        <v>81.030710639332298</v>
      </c>
      <c r="J26" s="157"/>
      <c r="K26" s="157"/>
      <c r="L26" s="157"/>
    </row>
    <row r="27" spans="1:14" s="1" customFormat="1" ht="13.15" customHeight="1" thickBot="1" x14ac:dyDescent="0.25">
      <c r="B27" s="370" t="s">
        <v>89</v>
      </c>
      <c r="C27" s="316">
        <v>3104</v>
      </c>
      <c r="D27" s="371" t="s">
        <v>263</v>
      </c>
      <c r="E27" s="372">
        <f>7555.4+4996.02+5899.77+4439</f>
        <v>22890.190000000002</v>
      </c>
      <c r="F27" s="372"/>
      <c r="G27" s="490"/>
      <c r="H27" s="340"/>
      <c r="I27" s="340"/>
      <c r="J27" s="157" t="e">
        <f>+#REF!/E24*100</f>
        <v>#REF!</v>
      </c>
      <c r="K27" s="157"/>
      <c r="L27" s="157"/>
      <c r="M27"/>
    </row>
    <row r="28" spans="1:14" s="1" customFormat="1" ht="13.15" customHeight="1" thickBot="1" x14ac:dyDescent="0.25">
      <c r="A28" s="255"/>
      <c r="B28" s="362"/>
      <c r="C28" s="643" t="s">
        <v>202</v>
      </c>
      <c r="D28" s="644"/>
      <c r="E28" s="363">
        <f>SUM(E7:E27)</f>
        <v>739821.95</v>
      </c>
      <c r="F28" s="363">
        <v>707266.79</v>
      </c>
      <c r="G28" s="491">
        <f>SUM(G7:G27)</f>
        <v>717550</v>
      </c>
      <c r="H28" s="47">
        <f t="shared" si="0"/>
        <v>95.599595280999722</v>
      </c>
      <c r="I28" s="47">
        <f t="shared" si="1"/>
        <v>101.4539364982767</v>
      </c>
      <c r="J28" s="157"/>
      <c r="K28" s="157"/>
      <c r="L28" s="157"/>
      <c r="N28" s="409"/>
    </row>
    <row r="29" spans="1:14" ht="13.5" thickBot="1" x14ac:dyDescent="0.25">
      <c r="B29" s="361" t="s">
        <v>97</v>
      </c>
      <c r="C29" s="453" t="s">
        <v>98</v>
      </c>
      <c r="D29" s="634" t="s">
        <v>261</v>
      </c>
      <c r="E29" s="635"/>
      <c r="F29" s="635"/>
      <c r="G29" s="635"/>
      <c r="H29" s="636"/>
      <c r="I29" s="637"/>
      <c r="J29" s="258" t="e">
        <f>SUM(J30:J43)</f>
        <v>#REF!</v>
      </c>
      <c r="K29" s="258"/>
      <c r="L29" s="258"/>
    </row>
    <row r="30" spans="1:14" x14ac:dyDescent="0.2">
      <c r="B30" s="366" t="s">
        <v>53</v>
      </c>
      <c r="C30" s="342" t="s">
        <v>306</v>
      </c>
      <c r="D30" s="367" t="s">
        <v>127</v>
      </c>
      <c r="E30" s="368">
        <v>378193.71</v>
      </c>
      <c r="F30" s="368">
        <v>386270.46</v>
      </c>
      <c r="G30" s="487">
        <v>388097.92</v>
      </c>
      <c r="H30" s="529">
        <f>+F30/E30*100</f>
        <v>102.13561193283726</v>
      </c>
      <c r="I30" s="369">
        <f>+G30/F30*100</f>
        <v>100.47310374187039</v>
      </c>
      <c r="J30" s="157" t="e">
        <f>+#REF!/E30*100</f>
        <v>#REF!</v>
      </c>
      <c r="K30" s="157"/>
      <c r="L30" s="157"/>
    </row>
    <row r="31" spans="1:14" x14ac:dyDescent="0.2">
      <c r="B31" s="315">
        <v>33</v>
      </c>
      <c r="C31" s="309">
        <v>2971</v>
      </c>
      <c r="D31" s="320" t="s">
        <v>139</v>
      </c>
      <c r="E31" s="365">
        <v>1800</v>
      </c>
      <c r="F31" s="365">
        <v>1800</v>
      </c>
      <c r="G31" s="488">
        <v>1800</v>
      </c>
      <c r="H31" s="498">
        <f t="shared" ref="H31:H45" si="2">+F31/E31*100</f>
        <v>100</v>
      </c>
      <c r="I31" s="356">
        <f t="shared" ref="I31:I45" si="3">+G31/F31*100</f>
        <v>100</v>
      </c>
      <c r="J31" s="157" t="e">
        <f>+#REF!/E31*100</f>
        <v>#REF!</v>
      </c>
      <c r="K31" s="157"/>
      <c r="L31" s="157"/>
    </row>
    <row r="32" spans="1:14" s="11" customFormat="1" x14ac:dyDescent="0.2">
      <c r="A32"/>
      <c r="B32" s="315">
        <v>37</v>
      </c>
      <c r="C32" s="309">
        <v>2965</v>
      </c>
      <c r="D32" s="320" t="s">
        <v>142</v>
      </c>
      <c r="E32" s="365">
        <v>0</v>
      </c>
      <c r="F32" s="365"/>
      <c r="G32" s="488"/>
      <c r="H32" s="498"/>
      <c r="I32" s="356"/>
      <c r="J32" s="157" t="e">
        <f>+#REF!/E32*100</f>
        <v>#REF!</v>
      </c>
      <c r="K32" s="157"/>
      <c r="L32" s="157"/>
    </row>
    <row r="33" spans="1:14" s="11" customFormat="1" x14ac:dyDescent="0.2">
      <c r="A33"/>
      <c r="B33" s="315">
        <v>38</v>
      </c>
      <c r="C33" s="309">
        <v>9018</v>
      </c>
      <c r="D33" s="320" t="s">
        <v>268</v>
      </c>
      <c r="E33" s="365">
        <v>8786.7999999999993</v>
      </c>
      <c r="F33" s="365">
        <v>3717.8</v>
      </c>
      <c r="G33" s="488">
        <v>0</v>
      </c>
      <c r="H33" s="498">
        <f t="shared" si="2"/>
        <v>42.311194063823017</v>
      </c>
      <c r="I33" s="356">
        <f t="shared" si="3"/>
        <v>0</v>
      </c>
      <c r="J33" s="157" t="e">
        <f>+#REF!/E33*100</f>
        <v>#REF!</v>
      </c>
      <c r="K33" s="157"/>
      <c r="L33" s="157"/>
    </row>
    <row r="34" spans="1:14" s="11" customFormat="1" x14ac:dyDescent="0.2">
      <c r="A34"/>
      <c r="B34" s="315">
        <v>39</v>
      </c>
      <c r="C34" s="309">
        <v>9019</v>
      </c>
      <c r="D34" s="320" t="s">
        <v>260</v>
      </c>
      <c r="E34" s="365">
        <v>2000</v>
      </c>
      <c r="F34" s="365">
        <v>4757.3900000000003</v>
      </c>
      <c r="G34" s="488">
        <v>0</v>
      </c>
      <c r="H34" s="498">
        <f t="shared" si="2"/>
        <v>237.86949999999999</v>
      </c>
      <c r="I34" s="356">
        <f t="shared" si="3"/>
        <v>0</v>
      </c>
      <c r="J34" s="157" t="e">
        <f>+#REF!/E34*100</f>
        <v>#REF!</v>
      </c>
      <c r="K34" s="157"/>
      <c r="L34" s="157"/>
    </row>
    <row r="35" spans="1:14" x14ac:dyDescent="0.2">
      <c r="A35" s="13"/>
      <c r="B35" s="315">
        <v>40</v>
      </c>
      <c r="C35" s="309">
        <v>4402</v>
      </c>
      <c r="D35" s="320" t="s">
        <v>145</v>
      </c>
      <c r="E35" s="365">
        <v>0</v>
      </c>
      <c r="F35" s="365"/>
      <c r="G35" s="488"/>
      <c r="H35" s="498"/>
      <c r="I35" s="356"/>
      <c r="J35" s="157" t="e">
        <f>+#REF!/E35*100</f>
        <v>#REF!</v>
      </c>
      <c r="K35" s="157"/>
      <c r="L35" s="157"/>
    </row>
    <row r="36" spans="1:14" s="10" customFormat="1" x14ac:dyDescent="0.2">
      <c r="A36" s="12"/>
      <c r="B36" s="315">
        <v>47</v>
      </c>
      <c r="C36" s="309">
        <v>4700</v>
      </c>
      <c r="D36" s="320" t="s">
        <v>143</v>
      </c>
      <c r="E36" s="365">
        <v>50644.62</v>
      </c>
      <c r="F36" s="365">
        <v>61611</v>
      </c>
      <c r="G36" s="488">
        <v>26460</v>
      </c>
      <c r="H36" s="498">
        <f t="shared" si="2"/>
        <v>121.65359321483702</v>
      </c>
      <c r="I36" s="356">
        <f t="shared" si="3"/>
        <v>42.946876369479476</v>
      </c>
      <c r="J36" s="157"/>
      <c r="K36" s="157"/>
      <c r="L36" s="157"/>
    </row>
    <row r="37" spans="1:14" x14ac:dyDescent="0.2">
      <c r="A37" s="10"/>
      <c r="B37" s="315">
        <v>49</v>
      </c>
      <c r="C37" s="309">
        <v>4900</v>
      </c>
      <c r="D37" s="321" t="s">
        <v>225</v>
      </c>
      <c r="E37" s="365">
        <f>136300/2</f>
        <v>68150</v>
      </c>
      <c r="F37" s="365">
        <v>68150</v>
      </c>
      <c r="G37" s="488">
        <v>64975</v>
      </c>
      <c r="H37" s="498">
        <f t="shared" si="2"/>
        <v>100</v>
      </c>
      <c r="I37" s="356">
        <f t="shared" si="3"/>
        <v>95.341159207630227</v>
      </c>
      <c r="J37" s="157"/>
      <c r="K37" s="157"/>
      <c r="L37" s="157"/>
    </row>
    <row r="38" spans="1:14" x14ac:dyDescent="0.2">
      <c r="A38" s="10"/>
      <c r="B38" s="315">
        <v>50</v>
      </c>
      <c r="C38" s="309">
        <v>5000</v>
      </c>
      <c r="D38" s="320" t="s">
        <v>226</v>
      </c>
      <c r="E38" s="365">
        <f>16191.36+4047.84</f>
        <v>20239.2</v>
      </c>
      <c r="F38" s="365">
        <v>8764.0499999999993</v>
      </c>
      <c r="G38" s="488">
        <v>26675</v>
      </c>
      <c r="H38" s="498">
        <f t="shared" si="2"/>
        <v>43.302353847978175</v>
      </c>
      <c r="I38" s="356">
        <f t="shared" si="3"/>
        <v>304.36841414642777</v>
      </c>
      <c r="J38" s="157"/>
      <c r="K38" s="157"/>
      <c r="L38" s="157"/>
    </row>
    <row r="39" spans="1:14" x14ac:dyDescent="0.2">
      <c r="B39" s="332" t="s">
        <v>89</v>
      </c>
      <c r="C39" s="309">
        <v>2970</v>
      </c>
      <c r="D39" s="320" t="s">
        <v>138</v>
      </c>
      <c r="E39" s="365">
        <v>600</v>
      </c>
      <c r="F39" s="365">
        <v>600</v>
      </c>
      <c r="G39" s="488">
        <v>1800</v>
      </c>
      <c r="H39" s="498">
        <f t="shared" si="2"/>
        <v>100</v>
      </c>
      <c r="I39" s="356">
        <f t="shared" si="3"/>
        <v>300</v>
      </c>
      <c r="J39" s="157" t="e">
        <f>+#REF!/E39*100</f>
        <v>#REF!</v>
      </c>
      <c r="K39" s="157"/>
      <c r="L39" s="157"/>
    </row>
    <row r="40" spans="1:14" x14ac:dyDescent="0.2">
      <c r="B40" s="332" t="s">
        <v>89</v>
      </c>
      <c r="C40" s="309">
        <v>3018</v>
      </c>
      <c r="D40" s="320" t="s">
        <v>307</v>
      </c>
      <c r="E40" s="365">
        <v>1250</v>
      </c>
      <c r="F40" s="365">
        <v>1000</v>
      </c>
      <c r="G40" s="488">
        <v>1500</v>
      </c>
      <c r="H40" s="498">
        <f t="shared" si="2"/>
        <v>80</v>
      </c>
      <c r="I40" s="356">
        <f t="shared" si="3"/>
        <v>150</v>
      </c>
      <c r="J40" s="157" t="e">
        <f>+#REF!/E40*100</f>
        <v>#REF!</v>
      </c>
      <c r="K40" s="157"/>
      <c r="L40" s="157"/>
    </row>
    <row r="41" spans="1:14" s="10" customFormat="1" x14ac:dyDescent="0.2">
      <c r="A41" s="12"/>
      <c r="B41" s="332" t="s">
        <v>89</v>
      </c>
      <c r="C41" s="309">
        <v>4800</v>
      </c>
      <c r="D41" s="320" t="s">
        <v>144</v>
      </c>
      <c r="E41" s="365">
        <v>15000</v>
      </c>
      <c r="F41" s="365"/>
      <c r="G41" s="488">
        <v>1800</v>
      </c>
      <c r="H41" s="498"/>
      <c r="I41" s="356"/>
      <c r="J41" s="157"/>
      <c r="K41" s="157"/>
      <c r="L41" s="157"/>
    </row>
    <row r="42" spans="1:14" x14ac:dyDescent="0.2">
      <c r="A42" s="10"/>
      <c r="B42" s="332" t="s">
        <v>89</v>
      </c>
      <c r="C42" s="309">
        <v>5600</v>
      </c>
      <c r="D42" s="320" t="s">
        <v>262</v>
      </c>
      <c r="E42" s="365">
        <f>5000+3000</f>
        <v>8000</v>
      </c>
      <c r="F42" s="365">
        <v>13642.56</v>
      </c>
      <c r="G42" s="488">
        <v>2000</v>
      </c>
      <c r="H42" s="498">
        <f t="shared" si="2"/>
        <v>170.53199999999998</v>
      </c>
      <c r="I42" s="356">
        <f t="shared" si="3"/>
        <v>14.660005160321818</v>
      </c>
      <c r="J42" s="157"/>
      <c r="K42" s="157"/>
      <c r="L42" s="157"/>
    </row>
    <row r="43" spans="1:14" ht="13.5" thickBot="1" x14ac:dyDescent="0.25">
      <c r="A43" s="10"/>
      <c r="B43" s="370" t="s">
        <v>89</v>
      </c>
      <c r="C43" s="316">
        <v>3029</v>
      </c>
      <c r="D43" s="371" t="s">
        <v>146</v>
      </c>
      <c r="E43" s="372">
        <v>0</v>
      </c>
      <c r="F43" s="372"/>
      <c r="G43" s="490"/>
      <c r="H43" s="561"/>
      <c r="I43" s="563"/>
      <c r="J43" s="157" t="e">
        <f>+#REF!/E43*100</f>
        <v>#REF!</v>
      </c>
      <c r="K43" s="157"/>
      <c r="L43" s="157"/>
    </row>
    <row r="44" spans="1:14" ht="13.5" thickBot="1" x14ac:dyDescent="0.25">
      <c r="A44" s="255"/>
      <c r="B44" s="645" t="s">
        <v>222</v>
      </c>
      <c r="C44" s="646"/>
      <c r="D44" s="647"/>
      <c r="E44" s="364">
        <f>SUM(E30:E43)</f>
        <v>554664.32999999996</v>
      </c>
      <c r="F44" s="364">
        <v>550313.26</v>
      </c>
      <c r="G44" s="492">
        <f>SUM(G30:G43)</f>
        <v>515107.92</v>
      </c>
      <c r="H44" s="530">
        <f t="shared" si="2"/>
        <v>99.215548978965359</v>
      </c>
      <c r="I44" s="564">
        <f t="shared" si="3"/>
        <v>93.602672775865869</v>
      </c>
      <c r="J44" s="157"/>
      <c r="K44" s="157"/>
      <c r="L44" s="157"/>
      <c r="N44" s="157"/>
    </row>
    <row r="45" spans="1:14" ht="13.5" thickBot="1" x14ac:dyDescent="0.25">
      <c r="B45" s="598"/>
      <c r="C45" s="599"/>
      <c r="D45" s="600" t="s">
        <v>3</v>
      </c>
      <c r="E45" s="601">
        <f>+E28+E44</f>
        <v>1294486.2799999998</v>
      </c>
      <c r="F45" s="601">
        <f>+F28+F44</f>
        <v>1257580.05</v>
      </c>
      <c r="G45" s="602">
        <v>1232657.9199999999</v>
      </c>
      <c r="H45" s="609">
        <f t="shared" si="2"/>
        <v>97.14896707904856</v>
      </c>
      <c r="I45" s="610">
        <f t="shared" si="3"/>
        <v>98.018247029284538</v>
      </c>
      <c r="J45" s="257" t="e">
        <f>J6+J29</f>
        <v>#REF!</v>
      </c>
      <c r="K45" s="257"/>
      <c r="L45" s="257"/>
    </row>
    <row r="46" spans="1:14" x14ac:dyDescent="0.2">
      <c r="B46" s="603"/>
      <c r="C46" s="604"/>
      <c r="D46" s="605"/>
      <c r="E46" s="606"/>
      <c r="F46" s="606"/>
      <c r="G46" s="606"/>
      <c r="H46" s="607"/>
      <c r="I46" s="608"/>
      <c r="J46" s="257"/>
      <c r="K46" s="257"/>
      <c r="L46" s="257"/>
    </row>
    <row r="47" spans="1:14" ht="13.5" thickBot="1" x14ac:dyDescent="0.25">
      <c r="B47" s="2"/>
      <c r="C47" s="12"/>
      <c r="D47" s="13"/>
      <c r="J47" s="68"/>
      <c r="K47" s="68"/>
      <c r="L47" s="68"/>
    </row>
    <row r="48" spans="1:14" ht="39" thickBot="1" x14ac:dyDescent="0.25">
      <c r="B48" s="651" t="s">
        <v>219</v>
      </c>
      <c r="C48" s="652"/>
      <c r="D48" s="653" t="s">
        <v>72</v>
      </c>
      <c r="E48" s="296" t="s">
        <v>137</v>
      </c>
      <c r="F48" s="485" t="s">
        <v>335</v>
      </c>
      <c r="G48" s="485" t="s">
        <v>337</v>
      </c>
      <c r="H48" s="297" t="s">
        <v>336</v>
      </c>
      <c r="I48" s="297" t="s">
        <v>338</v>
      </c>
      <c r="J48" s="260"/>
      <c r="K48" s="260"/>
      <c r="L48" s="260"/>
    </row>
    <row r="49" spans="1:12" ht="13.5" thickBot="1" x14ac:dyDescent="0.25">
      <c r="B49" s="378"/>
      <c r="C49" s="379"/>
      <c r="D49" s="299">
        <v>1</v>
      </c>
      <c r="E49" s="303">
        <v>2</v>
      </c>
      <c r="F49" s="303">
        <v>3</v>
      </c>
      <c r="G49" s="493" t="s">
        <v>361</v>
      </c>
      <c r="H49" s="304" t="s">
        <v>221</v>
      </c>
      <c r="I49" s="301" t="s">
        <v>339</v>
      </c>
      <c r="J49" s="68"/>
      <c r="K49" s="68"/>
      <c r="L49" s="68"/>
    </row>
    <row r="50" spans="1:12" x14ac:dyDescent="0.2">
      <c r="B50" s="328" t="s">
        <v>97</v>
      </c>
      <c r="C50" s="329" t="s">
        <v>98</v>
      </c>
      <c r="D50" s="352" t="s">
        <v>207</v>
      </c>
      <c r="E50" s="353"/>
      <c r="F50" s="354"/>
      <c r="G50" s="494"/>
      <c r="H50" s="494"/>
      <c r="I50" s="355"/>
      <c r="J50" s="262" t="s">
        <v>115</v>
      </c>
      <c r="K50" s="262"/>
      <c r="L50" s="262"/>
    </row>
    <row r="51" spans="1:12" ht="13.5" customHeight="1" x14ac:dyDescent="0.2">
      <c r="B51" s="332" t="s">
        <v>89</v>
      </c>
      <c r="C51" s="309">
        <v>3051</v>
      </c>
      <c r="D51" s="347" t="s">
        <v>160</v>
      </c>
      <c r="E51" s="186">
        <v>25000</v>
      </c>
      <c r="F51" s="186">
        <v>24998.799999999999</v>
      </c>
      <c r="G51" s="489">
        <v>25000</v>
      </c>
      <c r="H51" s="498">
        <f>+F51/E51*100</f>
        <v>99.995199999999997</v>
      </c>
      <c r="I51" s="356">
        <f>+G51/F51*100</f>
        <v>100.00480023041108</v>
      </c>
      <c r="J51" s="68" t="e">
        <f>+#REF!/E51*100</f>
        <v>#REF!</v>
      </c>
      <c r="K51" s="68"/>
      <c r="L51" s="68"/>
    </row>
    <row r="52" spans="1:12" x14ac:dyDescent="0.2">
      <c r="B52" s="332" t="s">
        <v>148</v>
      </c>
      <c r="C52" s="309">
        <v>3050</v>
      </c>
      <c r="D52" s="321" t="s">
        <v>161</v>
      </c>
      <c r="E52" s="125">
        <v>92000</v>
      </c>
      <c r="F52" s="125">
        <v>92000</v>
      </c>
      <c r="G52" s="131">
        <v>90000</v>
      </c>
      <c r="H52" s="498">
        <f>+E52/F52*100</f>
        <v>100</v>
      </c>
      <c r="I52" s="356">
        <f>+G52/F52*100</f>
        <v>97.826086956521735</v>
      </c>
      <c r="J52" s="68" t="e">
        <f>+#REF!/E52*100</f>
        <v>#REF!</v>
      </c>
      <c r="K52" s="68"/>
      <c r="L52" s="68"/>
    </row>
    <row r="53" spans="1:12" x14ac:dyDescent="0.2">
      <c r="A53" s="160"/>
      <c r="B53" s="334"/>
      <c r="C53" s="322"/>
      <c r="D53" s="322" t="s">
        <v>208</v>
      </c>
      <c r="E53" s="324">
        <f>+E51+E52</f>
        <v>117000</v>
      </c>
      <c r="F53" s="324">
        <f>SUM(F51:F52)</f>
        <v>116998.8</v>
      </c>
      <c r="G53" s="495">
        <f>SUM(G51:G52)</f>
        <v>115000</v>
      </c>
      <c r="H53" s="511">
        <f>+F53/E53*100</f>
        <v>99.998974358974351</v>
      </c>
      <c r="I53" s="611">
        <f>+G53/F53*100</f>
        <v>98.291606409638391</v>
      </c>
      <c r="J53" s="158" t="e">
        <f>+#REF!/E53*100</f>
        <v>#REF!</v>
      </c>
      <c r="K53" s="158"/>
      <c r="L53" s="158"/>
    </row>
    <row r="54" spans="1:12" x14ac:dyDescent="0.2">
      <c r="A54" s="160"/>
      <c r="B54" s="357"/>
      <c r="C54" s="348"/>
      <c r="D54" s="348"/>
      <c r="E54" s="349"/>
      <c r="F54" s="349"/>
      <c r="G54" s="496"/>
      <c r="H54" s="496"/>
      <c r="I54" s="611"/>
      <c r="J54" s="132"/>
      <c r="K54" s="132"/>
      <c r="L54" s="132"/>
    </row>
    <row r="55" spans="1:12" x14ac:dyDescent="0.2">
      <c r="B55" s="338" t="s">
        <v>97</v>
      </c>
      <c r="C55" s="317" t="s">
        <v>98</v>
      </c>
      <c r="D55" s="318" t="s">
        <v>209</v>
      </c>
      <c r="E55" s="350"/>
      <c r="F55" s="350"/>
      <c r="G55" s="497"/>
      <c r="H55" s="497"/>
      <c r="I55" s="611"/>
      <c r="J55" s="261" t="s">
        <v>115</v>
      </c>
      <c r="K55" s="261"/>
      <c r="L55" s="261"/>
    </row>
    <row r="56" spans="1:12" x14ac:dyDescent="0.2">
      <c r="B56" s="332" t="s">
        <v>148</v>
      </c>
      <c r="C56" s="309">
        <v>3061</v>
      </c>
      <c r="D56" s="320" t="s">
        <v>7</v>
      </c>
      <c r="E56" s="17">
        <v>10000</v>
      </c>
      <c r="F56" s="17">
        <v>10000</v>
      </c>
      <c r="G56" s="498">
        <v>15000</v>
      </c>
      <c r="H56" s="498">
        <f>+F56/E56*100</f>
        <v>100</v>
      </c>
      <c r="I56" s="613">
        <f t="shared" ref="I56:I64" si="4">+G56/F56*100</f>
        <v>150</v>
      </c>
      <c r="J56" s="68" t="e">
        <f>+#REF!/E56*100</f>
        <v>#REF!</v>
      </c>
      <c r="K56" s="68"/>
      <c r="L56" s="68"/>
    </row>
    <row r="57" spans="1:12" x14ac:dyDescent="0.2">
      <c r="B57" s="332" t="s">
        <v>148</v>
      </c>
      <c r="C57" s="309">
        <v>3063</v>
      </c>
      <c r="D57" s="320" t="s">
        <v>131</v>
      </c>
      <c r="E57" s="17">
        <v>6400</v>
      </c>
      <c r="F57" s="17">
        <v>6302.5</v>
      </c>
      <c r="G57" s="498">
        <v>6400</v>
      </c>
      <c r="H57" s="498">
        <f t="shared" ref="H57:H120" si="5">+F57/E57*100</f>
        <v>98.4765625</v>
      </c>
      <c r="I57" s="613">
        <f t="shared" si="4"/>
        <v>101.54700515668384</v>
      </c>
      <c r="J57" s="68" t="e">
        <f>+#REF!/E57*100</f>
        <v>#REF!</v>
      </c>
      <c r="K57" s="68"/>
      <c r="L57" s="68"/>
    </row>
    <row r="58" spans="1:12" x14ac:dyDescent="0.2">
      <c r="A58" s="160"/>
      <c r="B58" s="334"/>
      <c r="C58" s="322"/>
      <c r="D58" s="322" t="s">
        <v>20</v>
      </c>
      <c r="E58" s="324">
        <f>SUM(E56:E57)</f>
        <v>16400</v>
      </c>
      <c r="F58" s="324">
        <f>SUM(F56:F57)</f>
        <v>16302.5</v>
      </c>
      <c r="G58" s="495">
        <f>SUM(G56:G57)</f>
        <v>21400</v>
      </c>
      <c r="H58" s="511">
        <f t="shared" si="5"/>
        <v>99.405487804878049</v>
      </c>
      <c r="I58" s="611">
        <f t="shared" si="4"/>
        <v>131.26821039717836</v>
      </c>
      <c r="J58" s="158" t="e">
        <f>+#REF!/E58*100</f>
        <v>#REF!</v>
      </c>
      <c r="K58" s="158"/>
      <c r="L58" s="158"/>
    </row>
    <row r="59" spans="1:12" x14ac:dyDescent="0.2">
      <c r="A59" s="160"/>
      <c r="B59" s="357"/>
      <c r="C59" s="348"/>
      <c r="D59" s="348"/>
      <c r="E59" s="349"/>
      <c r="F59" s="349"/>
      <c r="G59" s="496"/>
      <c r="H59" s="498"/>
      <c r="I59" s="611"/>
      <c r="J59" s="132"/>
      <c r="K59" s="132"/>
      <c r="L59" s="132"/>
    </row>
    <row r="60" spans="1:12" s="5" customFormat="1" x14ac:dyDescent="0.2">
      <c r="A60"/>
      <c r="B60" s="338" t="s">
        <v>97</v>
      </c>
      <c r="C60" s="317" t="s">
        <v>98</v>
      </c>
      <c r="D60" s="318" t="s">
        <v>210</v>
      </c>
      <c r="E60" s="350"/>
      <c r="F60" s="350"/>
      <c r="G60" s="497"/>
      <c r="H60" s="597"/>
      <c r="I60" s="611"/>
      <c r="J60" s="261"/>
      <c r="K60" s="261"/>
      <c r="L60" s="261"/>
    </row>
    <row r="61" spans="1:12" s="5" customFormat="1" x14ac:dyDescent="0.2">
      <c r="A61"/>
      <c r="B61" s="332" t="s">
        <v>148</v>
      </c>
      <c r="C61" s="309">
        <v>3070</v>
      </c>
      <c r="D61" s="320" t="s">
        <v>129</v>
      </c>
      <c r="E61" s="186">
        <v>18000</v>
      </c>
      <c r="F61" s="186">
        <v>24732.5</v>
      </c>
      <c r="G61" s="489">
        <v>24000</v>
      </c>
      <c r="H61" s="498">
        <f t="shared" si="5"/>
        <v>137.40277777777777</v>
      </c>
      <c r="I61" s="613">
        <f t="shared" si="4"/>
        <v>97.038309916102293</v>
      </c>
      <c r="J61" s="68" t="e">
        <f>+#REF!/E61*100</f>
        <v>#REF!</v>
      </c>
      <c r="K61" s="68"/>
      <c r="L61" s="68"/>
    </row>
    <row r="62" spans="1:12" s="5" customFormat="1" x14ac:dyDescent="0.2">
      <c r="A62"/>
      <c r="B62" s="332" t="s">
        <v>148</v>
      </c>
      <c r="C62" s="309">
        <v>3071</v>
      </c>
      <c r="D62" s="320" t="s">
        <v>128</v>
      </c>
      <c r="E62" s="186">
        <v>12000</v>
      </c>
      <c r="F62" s="186">
        <v>7247.55</v>
      </c>
      <c r="G62" s="489">
        <v>8000</v>
      </c>
      <c r="H62" s="498">
        <f t="shared" si="5"/>
        <v>60.396250000000009</v>
      </c>
      <c r="I62" s="613">
        <f t="shared" si="4"/>
        <v>110.38212913329333</v>
      </c>
      <c r="J62" s="68" t="e">
        <f>+#REF!/E62*100</f>
        <v>#REF!</v>
      </c>
      <c r="K62" s="68"/>
      <c r="L62" s="68"/>
    </row>
    <row r="63" spans="1:12" s="5" customFormat="1" x14ac:dyDescent="0.2">
      <c r="A63"/>
      <c r="B63" s="332" t="s">
        <v>148</v>
      </c>
      <c r="C63" s="309">
        <v>3053</v>
      </c>
      <c r="D63" s="320" t="s">
        <v>151</v>
      </c>
      <c r="E63" s="186">
        <v>0</v>
      </c>
      <c r="F63" s="186"/>
      <c r="G63" s="489"/>
      <c r="H63" s="498"/>
      <c r="I63" s="611"/>
      <c r="J63" s="68" t="e">
        <f>+#REF!/E63*100</f>
        <v>#REF!</v>
      </c>
      <c r="K63" s="68"/>
      <c r="L63" s="68"/>
    </row>
    <row r="64" spans="1:12" s="5" customFormat="1" x14ac:dyDescent="0.2">
      <c r="A64" s="160"/>
      <c r="B64" s="641"/>
      <c r="C64" s="642"/>
      <c r="D64" s="322" t="s">
        <v>21</v>
      </c>
      <c r="E64" s="324">
        <f>SUM(E61:E63)</f>
        <v>30000</v>
      </c>
      <c r="F64" s="324">
        <f>SUM(F61:F63)</f>
        <v>31980.05</v>
      </c>
      <c r="G64" s="495">
        <f>SUM(G61:G63)</f>
        <v>32000</v>
      </c>
      <c r="H64" s="555">
        <f t="shared" si="5"/>
        <v>106.60016666666667</v>
      </c>
      <c r="I64" s="611">
        <f t="shared" si="4"/>
        <v>100.06238264167817</v>
      </c>
      <c r="J64" s="158" t="e">
        <f t="shared" ref="J64" si="6">SUM(J61:J63)</f>
        <v>#REF!</v>
      </c>
      <c r="K64" s="158"/>
      <c r="L64" s="158"/>
    </row>
    <row r="65" spans="1:12" s="5" customFormat="1" x14ac:dyDescent="0.2">
      <c r="A65" s="160"/>
      <c r="B65" s="357"/>
      <c r="C65" s="348"/>
      <c r="D65" s="348"/>
      <c r="E65" s="349"/>
      <c r="F65" s="349"/>
      <c r="G65" s="496"/>
      <c r="H65" s="498"/>
      <c r="I65" s="358"/>
      <c r="J65" s="132"/>
      <c r="K65" s="132"/>
      <c r="L65" s="132"/>
    </row>
    <row r="66" spans="1:12" s="5" customFormat="1" x14ac:dyDescent="0.2">
      <c r="A66"/>
      <c r="B66" s="338" t="s">
        <v>97</v>
      </c>
      <c r="C66" s="317" t="s">
        <v>98</v>
      </c>
      <c r="D66" s="318" t="s">
        <v>211</v>
      </c>
      <c r="E66" s="350"/>
      <c r="F66" s="350"/>
      <c r="G66" s="497"/>
      <c r="H66" s="558"/>
      <c r="I66" s="359"/>
      <c r="J66" s="261"/>
      <c r="K66" s="261"/>
      <c r="L66" s="261"/>
    </row>
    <row r="67" spans="1:12" s="5" customFormat="1" x14ac:dyDescent="0.2">
      <c r="A67"/>
      <c r="B67" s="332" t="s">
        <v>148</v>
      </c>
      <c r="C67" s="309">
        <v>3080</v>
      </c>
      <c r="D67" s="320" t="s">
        <v>152</v>
      </c>
      <c r="E67" s="186">
        <v>10500</v>
      </c>
      <c r="F67" s="186">
        <v>13105.38</v>
      </c>
      <c r="G67" s="489">
        <v>12000</v>
      </c>
      <c r="H67" s="498">
        <f t="shared" si="5"/>
        <v>124.81314285714285</v>
      </c>
      <c r="I67" s="333">
        <f>+G67/F67*100</f>
        <v>91.565448693589971</v>
      </c>
      <c r="J67" s="68" t="e">
        <f>+#REF!/E67*100</f>
        <v>#REF!</v>
      </c>
      <c r="K67" s="68"/>
      <c r="L67" s="68"/>
    </row>
    <row r="68" spans="1:12" s="5" customFormat="1" x14ac:dyDescent="0.2">
      <c r="A68"/>
      <c r="B68" s="332" t="s">
        <v>148</v>
      </c>
      <c r="C68" s="309">
        <v>3081</v>
      </c>
      <c r="D68" s="320" t="s">
        <v>153</v>
      </c>
      <c r="E68" s="186">
        <v>4000</v>
      </c>
      <c r="F68" s="186">
        <v>4231.8</v>
      </c>
      <c r="G68" s="489">
        <v>4000</v>
      </c>
      <c r="H68" s="498">
        <f t="shared" si="5"/>
        <v>105.79499999999999</v>
      </c>
      <c r="I68" s="333">
        <f t="shared" ref="I68:I81" si="7">+G68/F68*100</f>
        <v>94.522425445436937</v>
      </c>
      <c r="J68" s="68" t="e">
        <f>+#REF!/E68*100</f>
        <v>#REF!</v>
      </c>
      <c r="K68" s="68"/>
      <c r="L68" s="68"/>
    </row>
    <row r="69" spans="1:12" s="5" customFormat="1" x14ac:dyDescent="0.2">
      <c r="A69"/>
      <c r="B69" s="332" t="s">
        <v>148</v>
      </c>
      <c r="C69" s="309">
        <v>3082</v>
      </c>
      <c r="D69" s="320" t="s">
        <v>313</v>
      </c>
      <c r="E69" s="186">
        <v>10000</v>
      </c>
      <c r="F69" s="186">
        <v>5000</v>
      </c>
      <c r="G69" s="489">
        <v>6000</v>
      </c>
      <c r="H69" s="498">
        <f t="shared" si="5"/>
        <v>50</v>
      </c>
      <c r="I69" s="333">
        <f t="shared" si="7"/>
        <v>120</v>
      </c>
      <c r="J69" s="68" t="e">
        <f>+#REF!/E69*100</f>
        <v>#REF!</v>
      </c>
      <c r="K69" s="68"/>
      <c r="L69" s="68"/>
    </row>
    <row r="70" spans="1:12" s="5" customFormat="1" x14ac:dyDescent="0.2">
      <c r="A70"/>
      <c r="B70" s="332" t="s">
        <v>148</v>
      </c>
      <c r="C70" s="309">
        <v>3083</v>
      </c>
      <c r="D70" s="320" t="s">
        <v>155</v>
      </c>
      <c r="E70" s="186">
        <v>7000</v>
      </c>
      <c r="F70" s="186">
        <v>7406.79</v>
      </c>
      <c r="G70" s="489">
        <v>7000</v>
      </c>
      <c r="H70" s="498">
        <f t="shared" si="5"/>
        <v>105.8112857142857</v>
      </c>
      <c r="I70" s="333">
        <f t="shared" si="7"/>
        <v>94.50787723156725</v>
      </c>
      <c r="J70" s="68" t="e">
        <f>+#REF!/E70*100</f>
        <v>#REF!</v>
      </c>
      <c r="K70" s="68"/>
      <c r="L70" s="68"/>
    </row>
    <row r="71" spans="1:12" s="5" customFormat="1" x14ac:dyDescent="0.2">
      <c r="A71"/>
      <c r="B71" s="332" t="s">
        <v>148</v>
      </c>
      <c r="C71" s="309">
        <v>3085</v>
      </c>
      <c r="D71" s="320" t="s">
        <v>156</v>
      </c>
      <c r="E71" s="186">
        <v>6000</v>
      </c>
      <c r="F71" s="186">
        <v>5999.94</v>
      </c>
      <c r="G71" s="489">
        <v>6000</v>
      </c>
      <c r="H71" s="498">
        <f t="shared" si="5"/>
        <v>99.998999999999995</v>
      </c>
      <c r="I71" s="333">
        <f t="shared" si="7"/>
        <v>100.0010000100001</v>
      </c>
      <c r="J71" s="68" t="e">
        <f>+#REF!/E71*100</f>
        <v>#REF!</v>
      </c>
      <c r="K71" s="68"/>
      <c r="L71" s="68"/>
    </row>
    <row r="72" spans="1:12" s="5" customFormat="1" x14ac:dyDescent="0.2">
      <c r="A72"/>
      <c r="B72" s="332" t="s">
        <v>148</v>
      </c>
      <c r="C72" s="309">
        <v>3087</v>
      </c>
      <c r="D72" s="320" t="s">
        <v>157</v>
      </c>
      <c r="E72" s="186">
        <v>12000</v>
      </c>
      <c r="F72" s="186">
        <v>8968.81</v>
      </c>
      <c r="G72" s="489">
        <v>12000</v>
      </c>
      <c r="H72" s="498">
        <f t="shared" si="5"/>
        <v>74.740083333333331</v>
      </c>
      <c r="I72" s="333">
        <f t="shared" si="7"/>
        <v>133.79701431962548</v>
      </c>
      <c r="J72" s="68" t="e">
        <f>+#REF!/E72*100</f>
        <v>#REF!</v>
      </c>
      <c r="K72" s="68"/>
      <c r="L72" s="68"/>
    </row>
    <row r="73" spans="1:12" s="5" customFormat="1" ht="12.75" customHeight="1" x14ac:dyDescent="0.2">
      <c r="A73"/>
      <c r="B73" s="332" t="s">
        <v>89</v>
      </c>
      <c r="C73" s="309">
        <v>3076</v>
      </c>
      <c r="D73" s="320" t="s">
        <v>158</v>
      </c>
      <c r="E73" s="186">
        <v>600</v>
      </c>
      <c r="F73" s="186">
        <v>217.34</v>
      </c>
      <c r="G73" s="489">
        <v>1800</v>
      </c>
      <c r="H73" s="498">
        <f t="shared" si="5"/>
        <v>36.223333333333336</v>
      </c>
      <c r="I73" s="333">
        <f t="shared" si="7"/>
        <v>828.19545412717389</v>
      </c>
      <c r="J73" s="68" t="e">
        <f>+#REF!/E73*100</f>
        <v>#REF!</v>
      </c>
      <c r="K73" s="68"/>
      <c r="L73" s="68"/>
    </row>
    <row r="74" spans="1:12" s="5" customFormat="1" x14ac:dyDescent="0.2">
      <c r="A74"/>
      <c r="B74" s="332" t="s">
        <v>148</v>
      </c>
      <c r="C74" s="309">
        <v>3086</v>
      </c>
      <c r="D74" s="320" t="s">
        <v>92</v>
      </c>
      <c r="E74" s="186">
        <v>0</v>
      </c>
      <c r="F74" s="186"/>
      <c r="G74" s="489"/>
      <c r="H74" s="498"/>
      <c r="I74" s="333"/>
      <c r="J74" s="68" t="e">
        <f>+#REF!/E74*100</f>
        <v>#REF!</v>
      </c>
      <c r="K74" s="68"/>
      <c r="L74" s="68"/>
    </row>
    <row r="75" spans="1:12" s="5" customFormat="1" x14ac:dyDescent="0.2">
      <c r="A75"/>
      <c r="B75" s="332" t="s">
        <v>148</v>
      </c>
      <c r="C75" s="309">
        <v>3088</v>
      </c>
      <c r="D75" s="320" t="s">
        <v>60</v>
      </c>
      <c r="E75" s="186">
        <v>3000</v>
      </c>
      <c r="F75" s="186">
        <v>1560.13</v>
      </c>
      <c r="G75" s="489">
        <v>2000</v>
      </c>
      <c r="H75" s="498">
        <f t="shared" si="5"/>
        <v>52.004333333333342</v>
      </c>
      <c r="I75" s="333">
        <f t="shared" si="7"/>
        <v>128.19444533468365</v>
      </c>
      <c r="J75" s="68" t="e">
        <f>+#REF!/E75*100</f>
        <v>#REF!</v>
      </c>
      <c r="K75" s="68"/>
      <c r="L75" s="68"/>
    </row>
    <row r="76" spans="1:12" s="5" customFormat="1" x14ac:dyDescent="0.2">
      <c r="A76"/>
      <c r="B76" s="332" t="s">
        <v>148</v>
      </c>
      <c r="C76" s="309">
        <v>3052</v>
      </c>
      <c r="D76" s="320" t="s">
        <v>314</v>
      </c>
      <c r="E76" s="186">
        <v>4000</v>
      </c>
      <c r="F76" s="531">
        <v>4960.93</v>
      </c>
      <c r="G76" s="489">
        <v>3000</v>
      </c>
      <c r="H76" s="498">
        <f t="shared" si="5"/>
        <v>124.02325</v>
      </c>
      <c r="I76" s="333">
        <f t="shared" si="7"/>
        <v>60.472532367922952</v>
      </c>
      <c r="J76" s="68" t="e">
        <f>+#REF!/E76*100</f>
        <v>#REF!</v>
      </c>
      <c r="K76" s="68"/>
      <c r="L76" s="68"/>
    </row>
    <row r="77" spans="1:12" x14ac:dyDescent="0.2">
      <c r="A77" s="10"/>
      <c r="B77" s="360" t="s">
        <v>148</v>
      </c>
      <c r="C77" s="309">
        <v>3131</v>
      </c>
      <c r="D77" s="320" t="s">
        <v>315</v>
      </c>
      <c r="E77" s="186">
        <v>2000</v>
      </c>
      <c r="F77" s="186">
        <v>3151.84</v>
      </c>
      <c r="G77" s="489">
        <v>2000</v>
      </c>
      <c r="H77" s="498">
        <f t="shared" si="5"/>
        <v>157.59199999999998</v>
      </c>
      <c r="I77" s="333">
        <f t="shared" si="7"/>
        <v>63.454997715620074</v>
      </c>
      <c r="J77" s="68" t="e">
        <f>+#REF!/E77*100</f>
        <v>#REF!</v>
      </c>
      <c r="K77" s="68"/>
      <c r="L77" s="68"/>
    </row>
    <row r="78" spans="1:12" s="5" customFormat="1" x14ac:dyDescent="0.2">
      <c r="A78"/>
      <c r="B78" s="332" t="s">
        <v>149</v>
      </c>
      <c r="C78" s="309" t="s">
        <v>346</v>
      </c>
      <c r="D78" s="320" t="s">
        <v>168</v>
      </c>
      <c r="E78" s="186">
        <v>22000</v>
      </c>
      <c r="F78" s="531">
        <v>28897.09</v>
      </c>
      <c r="G78" s="489">
        <v>25850</v>
      </c>
      <c r="H78" s="498">
        <f t="shared" si="5"/>
        <v>131.3504090909091</v>
      </c>
      <c r="I78" s="333">
        <f t="shared" si="7"/>
        <v>89.455374226262919</v>
      </c>
      <c r="J78" s="68" t="e">
        <f>+#REF!/E78*100</f>
        <v>#REF!</v>
      </c>
      <c r="K78" s="68"/>
      <c r="L78" s="68"/>
    </row>
    <row r="79" spans="1:12" s="5" customFormat="1" x14ac:dyDescent="0.2">
      <c r="A79"/>
      <c r="B79" s="332" t="s">
        <v>148</v>
      </c>
      <c r="C79" s="309">
        <v>3140</v>
      </c>
      <c r="D79" s="320" t="s">
        <v>125</v>
      </c>
      <c r="E79" s="186">
        <v>40000</v>
      </c>
      <c r="F79" s="186">
        <v>36806.89</v>
      </c>
      <c r="G79" s="489">
        <v>40000</v>
      </c>
      <c r="H79" s="498">
        <f t="shared" si="5"/>
        <v>92.017224999999996</v>
      </c>
      <c r="I79" s="333">
        <f t="shared" si="7"/>
        <v>108.67530508554242</v>
      </c>
      <c r="J79" s="68" t="e">
        <f>+#REF!/E79*100</f>
        <v>#REF!</v>
      </c>
      <c r="K79" s="68"/>
      <c r="L79" s="68"/>
    </row>
    <row r="80" spans="1:12" s="5" customFormat="1" x14ac:dyDescent="0.2">
      <c r="A80"/>
      <c r="B80" s="332" t="s">
        <v>148</v>
      </c>
      <c r="C80" s="309">
        <v>3064</v>
      </c>
      <c r="D80" s="320" t="s">
        <v>204</v>
      </c>
      <c r="E80" s="186">
        <v>2000</v>
      </c>
      <c r="F80" s="186"/>
      <c r="G80" s="489">
        <v>2000</v>
      </c>
      <c r="H80" s="498">
        <f t="shared" si="5"/>
        <v>0</v>
      </c>
      <c r="I80" s="333"/>
      <c r="J80" s="68" t="e">
        <f>+#REF!/E80*100</f>
        <v>#REF!</v>
      </c>
      <c r="K80" s="68"/>
      <c r="L80" s="68"/>
    </row>
    <row r="81" spans="1:12" s="5" customFormat="1" x14ac:dyDescent="0.2">
      <c r="A81" s="160"/>
      <c r="B81" s="334"/>
      <c r="C81" s="322"/>
      <c r="D81" s="322" t="s">
        <v>212</v>
      </c>
      <c r="E81" s="324">
        <f>SUM(E67:E80)</f>
        <v>123100</v>
      </c>
      <c r="F81" s="324">
        <v>120306.94</v>
      </c>
      <c r="G81" s="495">
        <f>SUM(G67:G80)</f>
        <v>123650</v>
      </c>
      <c r="H81" s="555">
        <f t="shared" si="5"/>
        <v>97.731064175467097</v>
      </c>
      <c r="I81" s="333">
        <f t="shared" si="7"/>
        <v>102.77877568825207</v>
      </c>
      <c r="J81" s="158" t="e">
        <f>+#REF!/E81*100</f>
        <v>#REF!</v>
      </c>
      <c r="K81" s="158"/>
      <c r="L81" s="158"/>
    </row>
    <row r="82" spans="1:12" s="5" customFormat="1" x14ac:dyDescent="0.2">
      <c r="A82" s="160"/>
      <c r="B82" s="357"/>
      <c r="C82" s="348"/>
      <c r="D82" s="348"/>
      <c r="E82" s="349"/>
      <c r="F82" s="349"/>
      <c r="G82" s="496"/>
      <c r="H82" s="498"/>
      <c r="I82" s="358"/>
      <c r="J82" s="132"/>
      <c r="K82" s="132"/>
      <c r="L82" s="132"/>
    </row>
    <row r="83" spans="1:12" s="5" customFormat="1" x14ac:dyDescent="0.2">
      <c r="A83"/>
      <c r="B83" s="338" t="s">
        <v>97</v>
      </c>
      <c r="C83" s="317" t="s">
        <v>98</v>
      </c>
      <c r="D83" s="318" t="s">
        <v>18</v>
      </c>
      <c r="E83" s="350"/>
      <c r="F83" s="350"/>
      <c r="G83" s="497"/>
      <c r="H83" s="558"/>
      <c r="I83" s="359"/>
      <c r="J83" s="261" t="s">
        <v>115</v>
      </c>
      <c r="K83" s="261"/>
      <c r="L83" s="261"/>
    </row>
    <row r="84" spans="1:12" s="5" customFormat="1" x14ac:dyDescent="0.2">
      <c r="A84"/>
      <c r="B84" s="332" t="s">
        <v>89</v>
      </c>
      <c r="C84" s="309">
        <v>3100</v>
      </c>
      <c r="D84" s="319" t="s">
        <v>24</v>
      </c>
      <c r="E84" s="186">
        <v>23000</v>
      </c>
      <c r="F84" s="186">
        <v>26130.91</v>
      </c>
      <c r="G84" s="489">
        <v>26000</v>
      </c>
      <c r="H84" s="498">
        <f t="shared" si="5"/>
        <v>113.61265217391305</v>
      </c>
      <c r="I84" s="333">
        <f>+G84/F84*100</f>
        <v>99.499022422104701</v>
      </c>
      <c r="J84" s="68" t="e">
        <f>+#REF!/E84*100</f>
        <v>#REF!</v>
      </c>
      <c r="K84" s="68"/>
      <c r="L84" s="68"/>
    </row>
    <row r="85" spans="1:12" s="5" customFormat="1" x14ac:dyDescent="0.2">
      <c r="A85" s="160"/>
      <c r="B85" s="334"/>
      <c r="C85" s="322"/>
      <c r="D85" s="322" t="s">
        <v>22</v>
      </c>
      <c r="E85" s="324">
        <f>SUM(E84)</f>
        <v>23000</v>
      </c>
      <c r="F85" s="324">
        <f>SUM(F84)</f>
        <v>26130.91</v>
      </c>
      <c r="G85" s="495">
        <f>SUM(G84)</f>
        <v>26000</v>
      </c>
      <c r="H85" s="555">
        <f t="shared" si="5"/>
        <v>113.61265217391305</v>
      </c>
      <c r="I85" s="335">
        <v>99.5</v>
      </c>
      <c r="J85" s="158" t="e">
        <f>+#REF!/E85*100</f>
        <v>#REF!</v>
      </c>
      <c r="K85" s="158"/>
      <c r="L85" s="158"/>
    </row>
    <row r="86" spans="1:12" s="5" customFormat="1" x14ac:dyDescent="0.2">
      <c r="A86" s="160"/>
      <c r="B86" s="357"/>
      <c r="C86" s="348"/>
      <c r="D86" s="348"/>
      <c r="E86" s="349"/>
      <c r="F86" s="349"/>
      <c r="G86" s="496"/>
      <c r="H86" s="498"/>
      <c r="I86" s="358"/>
      <c r="J86" s="132"/>
      <c r="K86" s="132"/>
      <c r="L86" s="132"/>
    </row>
    <row r="87" spans="1:12" x14ac:dyDescent="0.2">
      <c r="A87" s="1"/>
      <c r="B87" s="338" t="s">
        <v>97</v>
      </c>
      <c r="C87" s="317" t="s">
        <v>98</v>
      </c>
      <c r="D87" s="318" t="s">
        <v>269</v>
      </c>
      <c r="E87" s="318"/>
      <c r="F87" s="318"/>
      <c r="G87" s="499"/>
      <c r="H87" s="498"/>
      <c r="I87" s="337"/>
      <c r="J87" s="263" t="s">
        <v>115</v>
      </c>
      <c r="K87" s="263"/>
      <c r="L87" s="263"/>
    </row>
    <row r="88" spans="1:12" ht="13.15" customHeight="1" x14ac:dyDescent="0.2">
      <c r="B88" s="332" t="s">
        <v>89</v>
      </c>
      <c r="C88" s="309">
        <v>3109</v>
      </c>
      <c r="D88" s="320" t="s">
        <v>130</v>
      </c>
      <c r="E88" s="186">
        <v>1000</v>
      </c>
      <c r="F88" s="186"/>
      <c r="G88" s="489">
        <v>1500</v>
      </c>
      <c r="H88" s="498">
        <f t="shared" si="5"/>
        <v>0</v>
      </c>
      <c r="I88" s="333">
        <f>F88/E88*100</f>
        <v>0</v>
      </c>
      <c r="J88" s="68"/>
      <c r="K88" s="68"/>
      <c r="L88" s="68"/>
    </row>
    <row r="89" spans="1:12" ht="13.15" customHeight="1" x14ac:dyDescent="0.2">
      <c r="B89" s="332" t="s">
        <v>89</v>
      </c>
      <c r="C89" s="309">
        <v>3110</v>
      </c>
      <c r="D89" s="321" t="s">
        <v>62</v>
      </c>
      <c r="E89" s="186">
        <v>3000</v>
      </c>
      <c r="F89" s="186">
        <v>107.1</v>
      </c>
      <c r="G89" s="489">
        <v>4000</v>
      </c>
      <c r="H89" s="498">
        <f t="shared" si="5"/>
        <v>3.5699999999999994</v>
      </c>
      <c r="I89" s="333">
        <f>+G89/F89*100</f>
        <v>3734.8272642390293</v>
      </c>
      <c r="J89" s="68"/>
      <c r="K89" s="68"/>
      <c r="L89" s="68"/>
    </row>
    <row r="90" spans="1:12" ht="13.15" customHeight="1" x14ac:dyDescent="0.2">
      <c r="B90" s="332" t="s">
        <v>89</v>
      </c>
      <c r="C90" s="309">
        <v>3111</v>
      </c>
      <c r="D90" s="320" t="s">
        <v>300</v>
      </c>
      <c r="E90" s="186">
        <v>1500</v>
      </c>
      <c r="F90" s="186"/>
      <c r="G90" s="489">
        <v>2000</v>
      </c>
      <c r="H90" s="498">
        <f t="shared" si="5"/>
        <v>0</v>
      </c>
      <c r="I90" s="333"/>
      <c r="J90" s="68"/>
      <c r="K90" s="68"/>
      <c r="L90" s="68"/>
    </row>
    <row r="91" spans="1:12" ht="13.15" customHeight="1" x14ac:dyDescent="0.2">
      <c r="B91" s="332" t="s">
        <v>89</v>
      </c>
      <c r="C91" s="302" t="s">
        <v>159</v>
      </c>
      <c r="D91" s="321" t="s">
        <v>61</v>
      </c>
      <c r="E91" s="186">
        <v>500</v>
      </c>
      <c r="F91" s="186"/>
      <c r="G91" s="489">
        <v>1000</v>
      </c>
      <c r="H91" s="498">
        <f t="shared" si="5"/>
        <v>0</v>
      </c>
      <c r="I91" s="333">
        <f>F91/E91*100</f>
        <v>0</v>
      </c>
      <c r="J91" s="68" t="e">
        <f>+#REF!/E91*100</f>
        <v>#REF!</v>
      </c>
      <c r="K91" s="68"/>
      <c r="L91" s="68"/>
    </row>
    <row r="92" spans="1:12" x14ac:dyDescent="0.2">
      <c r="A92" s="160"/>
      <c r="B92" s="334"/>
      <c r="C92" s="322"/>
      <c r="D92" s="322" t="s">
        <v>26</v>
      </c>
      <c r="E92" s="324">
        <f>SUM(E88:E91)</f>
        <v>6000</v>
      </c>
      <c r="F92" s="324">
        <f>SUM(F89:F91)</f>
        <v>107.1</v>
      </c>
      <c r="G92" s="495">
        <f>SUM(G88:G91)</f>
        <v>8500</v>
      </c>
      <c r="H92" s="555">
        <f t="shared" si="5"/>
        <v>1.7849999999999997</v>
      </c>
      <c r="I92" s="335">
        <f>+G92/F92*100</f>
        <v>7936.5079365079364</v>
      </c>
      <c r="J92" s="158" t="e">
        <f>+#REF!/E92*100</f>
        <v>#REF!</v>
      </c>
      <c r="K92" s="158"/>
      <c r="L92" s="158"/>
    </row>
    <row r="93" spans="1:12" x14ac:dyDescent="0.2">
      <c r="A93" s="160"/>
      <c r="B93" s="357"/>
      <c r="C93" s="348"/>
      <c r="D93" s="348"/>
      <c r="E93" s="349"/>
      <c r="F93" s="349"/>
      <c r="G93" s="496"/>
      <c r="H93" s="498"/>
      <c r="I93" s="358"/>
      <c r="J93" s="132"/>
      <c r="K93" s="132"/>
      <c r="L93" s="132"/>
    </row>
    <row r="94" spans="1:12" x14ac:dyDescent="0.2">
      <c r="A94" s="1"/>
      <c r="B94" s="338" t="s">
        <v>97</v>
      </c>
      <c r="C94" s="317" t="s">
        <v>98</v>
      </c>
      <c r="D94" s="318" t="s">
        <v>19</v>
      </c>
      <c r="E94" s="318"/>
      <c r="F94" s="318"/>
      <c r="G94" s="499"/>
      <c r="H94" s="558"/>
      <c r="I94" s="337"/>
      <c r="J94" s="263"/>
      <c r="K94" s="263"/>
      <c r="L94" s="263"/>
    </row>
    <row r="95" spans="1:12" x14ac:dyDescent="0.2">
      <c r="B95" s="332" t="s">
        <v>89</v>
      </c>
      <c r="C95" s="309">
        <v>3120</v>
      </c>
      <c r="D95" s="319" t="s">
        <v>316</v>
      </c>
      <c r="E95" s="186">
        <v>10000</v>
      </c>
      <c r="F95" s="186">
        <v>11273.52</v>
      </c>
      <c r="G95" s="489">
        <v>12000</v>
      </c>
      <c r="H95" s="498">
        <f t="shared" si="5"/>
        <v>112.73520000000002</v>
      </c>
      <c r="I95" s="333">
        <f>+G95/F95*100</f>
        <v>106.44412747748706</v>
      </c>
      <c r="J95" s="68" t="e">
        <f>+#REF!/E95*100</f>
        <v>#REF!</v>
      </c>
      <c r="K95" s="68"/>
      <c r="L95" s="68"/>
    </row>
    <row r="96" spans="1:12" x14ac:dyDescent="0.2">
      <c r="B96" s="332" t="s">
        <v>89</v>
      </c>
      <c r="C96" s="309">
        <v>3135</v>
      </c>
      <c r="D96" s="351" t="s">
        <v>55</v>
      </c>
      <c r="E96" s="186">
        <v>100</v>
      </c>
      <c r="F96" s="186"/>
      <c r="G96" s="489">
        <v>200</v>
      </c>
      <c r="H96" s="498">
        <f t="shared" si="5"/>
        <v>0</v>
      </c>
      <c r="I96" s="333">
        <f>F96/E96*100</f>
        <v>0</v>
      </c>
      <c r="J96" s="68" t="e">
        <f>+#REF!/E96*100</f>
        <v>#REF!</v>
      </c>
      <c r="K96" s="68"/>
      <c r="L96" s="68"/>
    </row>
    <row r="97" spans="1:22" ht="13.5" thickBot="1" x14ac:dyDescent="0.25">
      <c r="A97" s="160"/>
      <c r="B97" s="343"/>
      <c r="C97" s="344"/>
      <c r="D97" s="344" t="s">
        <v>27</v>
      </c>
      <c r="E97" s="345">
        <f>SUM(E95:E96)</f>
        <v>10100</v>
      </c>
      <c r="F97" s="345">
        <f>SUM(F95:F96)</f>
        <v>11273.52</v>
      </c>
      <c r="G97" s="500">
        <f>SUM(G95:G96)</f>
        <v>12200</v>
      </c>
      <c r="H97" s="573">
        <f t="shared" si="5"/>
        <v>111.61900990099009</v>
      </c>
      <c r="I97" s="346">
        <f>+G97/F97*100</f>
        <v>108.21819626877851</v>
      </c>
      <c r="J97" s="158" t="e">
        <f>+#REF!/E97*100</f>
        <v>#REF!</v>
      </c>
      <c r="K97" s="158"/>
      <c r="L97" s="158"/>
      <c r="N97" s="133"/>
    </row>
    <row r="98" spans="1:22" ht="16.5" thickBot="1" x14ac:dyDescent="0.25">
      <c r="A98" s="294"/>
      <c r="B98" s="567"/>
      <c r="C98" s="568"/>
      <c r="D98" s="569" t="s">
        <v>23</v>
      </c>
      <c r="E98" s="570">
        <f>+E53+E58+E64+E81+E85+E92+E97</f>
        <v>325600</v>
      </c>
      <c r="F98" s="570">
        <f>+F53+F58+F64+F81+F85+F92+F97</f>
        <v>323099.81999999995</v>
      </c>
      <c r="G98" s="571">
        <f>+G53+G58+G64+G81+G85+G92+G97</f>
        <v>338750</v>
      </c>
      <c r="H98" s="572">
        <f t="shared" si="5"/>
        <v>99.232131449631439</v>
      </c>
      <c r="I98" s="566">
        <f>+G98/F98*100</f>
        <v>104.84376004913901</v>
      </c>
      <c r="J98" s="265" t="e">
        <f>+J53+J58+J64+J81+J85+J92+J97</f>
        <v>#REF!</v>
      </c>
      <c r="K98" s="265"/>
      <c r="L98" s="265"/>
      <c r="N98" s="157"/>
    </row>
    <row r="99" spans="1:22" ht="13.5" thickBot="1" x14ac:dyDescent="0.25">
      <c r="D99" s="160"/>
      <c r="E99" s="161"/>
      <c r="H99" s="498"/>
      <c r="J99" s="68"/>
      <c r="K99" s="68"/>
      <c r="L99" s="68"/>
      <c r="N99" s="157"/>
    </row>
    <row r="100" spans="1:22" ht="39" thickBot="1" x14ac:dyDescent="0.25">
      <c r="A100" s="294"/>
      <c r="B100" s="648" t="s">
        <v>213</v>
      </c>
      <c r="C100" s="649"/>
      <c r="D100" s="650"/>
      <c r="E100" s="296" t="s">
        <v>137</v>
      </c>
      <c r="F100" s="485" t="s">
        <v>335</v>
      </c>
      <c r="G100" s="485" t="s">
        <v>337</v>
      </c>
      <c r="H100" s="297" t="s">
        <v>336</v>
      </c>
      <c r="I100" s="297" t="s">
        <v>338</v>
      </c>
      <c r="J100" s="264" t="s">
        <v>133</v>
      </c>
      <c r="K100" s="264"/>
      <c r="L100" s="264"/>
      <c r="N100" s="133"/>
      <c r="O100" s="133"/>
    </row>
    <row r="101" spans="1:22" x14ac:dyDescent="0.2">
      <c r="B101" s="455" t="s">
        <v>97</v>
      </c>
      <c r="C101" s="455" t="s">
        <v>98</v>
      </c>
      <c r="D101" s="456">
        <v>1</v>
      </c>
      <c r="E101" s="456">
        <v>2</v>
      </c>
      <c r="F101" s="456">
        <v>3</v>
      </c>
      <c r="G101" s="456">
        <v>4</v>
      </c>
      <c r="H101" s="457" t="s">
        <v>221</v>
      </c>
      <c r="I101" s="565" t="s">
        <v>339</v>
      </c>
      <c r="J101" s="68" t="e">
        <f>+#REF!/E101*100</f>
        <v>#REF!</v>
      </c>
      <c r="K101" s="68"/>
      <c r="L101" s="68"/>
    </row>
    <row r="102" spans="1:22" s="10" customFormat="1" ht="12.75" customHeight="1" x14ac:dyDescent="0.2">
      <c r="A102"/>
      <c r="B102" s="332" t="s">
        <v>53</v>
      </c>
      <c r="C102" s="313" t="s">
        <v>293</v>
      </c>
      <c r="D102" s="320" t="s">
        <v>301</v>
      </c>
      <c r="E102" s="341">
        <v>151915.88</v>
      </c>
      <c r="F102" s="341">
        <v>158439.82</v>
      </c>
      <c r="G102" s="501">
        <v>158150</v>
      </c>
      <c r="H102" s="498">
        <f t="shared" si="5"/>
        <v>104.29444242432062</v>
      </c>
      <c r="I102" s="465">
        <f>+G102/F102*100</f>
        <v>99.817078812636879</v>
      </c>
      <c r="J102" s="159" t="e">
        <f>+#REF!/E102*100</f>
        <v>#REF!</v>
      </c>
      <c r="K102" s="159"/>
      <c r="L102" s="159"/>
      <c r="M102" s="449"/>
    </row>
    <row r="103" spans="1:22" s="10" customFormat="1" ht="12.75" customHeight="1" x14ac:dyDescent="0.2">
      <c r="A103"/>
      <c r="B103" s="332">
        <v>47</v>
      </c>
      <c r="C103" s="302" t="s">
        <v>317</v>
      </c>
      <c r="D103" s="320" t="s">
        <v>280</v>
      </c>
      <c r="E103" s="341">
        <v>24400</v>
      </c>
      <c r="F103" s="341">
        <v>26620</v>
      </c>
      <c r="G103" s="501">
        <v>1800</v>
      </c>
      <c r="H103" s="498">
        <f t="shared" si="5"/>
        <v>109.09836065573771</v>
      </c>
      <c r="I103" s="333">
        <f t="shared" ref="I103:I105" si="8">+G103/F103*100</f>
        <v>6.7618332081141999</v>
      </c>
      <c r="J103" s="159"/>
      <c r="K103" s="159"/>
      <c r="L103" s="159"/>
    </row>
    <row r="104" spans="1:22" s="10" customFormat="1" ht="12.75" customHeight="1" x14ac:dyDescent="0.2">
      <c r="A104"/>
      <c r="B104" s="332">
        <v>49</v>
      </c>
      <c r="C104" s="302" t="s">
        <v>318</v>
      </c>
      <c r="D104" s="320" t="s">
        <v>281</v>
      </c>
      <c r="E104" s="341">
        <v>32000</v>
      </c>
      <c r="F104" s="341">
        <v>32000</v>
      </c>
      <c r="G104" s="501">
        <v>32000</v>
      </c>
      <c r="H104" s="498">
        <f t="shared" si="5"/>
        <v>100</v>
      </c>
      <c r="I104" s="333">
        <f t="shared" si="8"/>
        <v>100</v>
      </c>
      <c r="J104" s="159"/>
      <c r="K104" s="159"/>
      <c r="L104" s="159"/>
    </row>
    <row r="105" spans="1:22" s="156" customFormat="1" x14ac:dyDescent="0.2">
      <c r="A105" s="160"/>
      <c r="B105" s="334"/>
      <c r="C105" s="322"/>
      <c r="D105" s="322" t="s">
        <v>295</v>
      </c>
      <c r="E105" s="324">
        <f>SUM(E102:E104)</f>
        <v>208315.88</v>
      </c>
      <c r="F105" s="324">
        <f>SUM(F102:F104)</f>
        <v>217059.82</v>
      </c>
      <c r="G105" s="495">
        <f>SUM(G102:G104)</f>
        <v>191950</v>
      </c>
      <c r="H105" s="511">
        <f t="shared" si="5"/>
        <v>104.19744284497179</v>
      </c>
      <c r="I105" s="574">
        <f t="shared" si="8"/>
        <v>88.431843350832963</v>
      </c>
      <c r="J105" s="159" t="e">
        <f>+#REF!/E105*100</f>
        <v>#REF!</v>
      </c>
      <c r="K105" s="159"/>
      <c r="L105" s="159"/>
      <c r="M105"/>
      <c r="N105"/>
      <c r="O105"/>
      <c r="P105"/>
      <c r="Q105"/>
      <c r="R105"/>
      <c r="S105"/>
      <c r="T105"/>
      <c r="U105"/>
      <c r="V105"/>
    </row>
    <row r="106" spans="1:22" ht="15" customHeight="1" x14ac:dyDescent="0.2">
      <c r="A106" s="1"/>
      <c r="B106" s="381"/>
      <c r="C106" s="382"/>
      <c r="D106" s="383" t="s">
        <v>17</v>
      </c>
      <c r="E106" s="383"/>
      <c r="F106" s="383"/>
      <c r="G106" s="502"/>
      <c r="H106" s="558"/>
      <c r="I106" s="384"/>
      <c r="J106" s="68" t="s">
        <v>115</v>
      </c>
      <c r="K106" s="68"/>
      <c r="L106" s="68"/>
    </row>
    <row r="107" spans="1:22" ht="13.15" customHeight="1" x14ac:dyDescent="0.2">
      <c r="A107" s="10"/>
      <c r="B107" s="332" t="s">
        <v>89</v>
      </c>
      <c r="C107" s="309">
        <v>3122</v>
      </c>
      <c r="D107" s="320" t="s">
        <v>319</v>
      </c>
      <c r="E107" s="341">
        <v>2988.46</v>
      </c>
      <c r="F107" s="341"/>
      <c r="G107" s="501"/>
      <c r="H107" s="498"/>
      <c r="I107" s="333"/>
      <c r="J107" s="68" t="e">
        <f>+#REF!/E107*100</f>
        <v>#REF!</v>
      </c>
      <c r="K107" s="68"/>
      <c r="L107" s="68"/>
    </row>
    <row r="108" spans="1:22" ht="13.15" customHeight="1" thickBot="1" x14ac:dyDescent="0.25">
      <c r="B108" s="429" t="s">
        <v>89</v>
      </c>
      <c r="C108" s="427">
        <v>3124</v>
      </c>
      <c r="D108" s="410" t="s">
        <v>320</v>
      </c>
      <c r="E108" s="450">
        <v>0</v>
      </c>
      <c r="F108" s="450"/>
      <c r="G108" s="503"/>
      <c r="H108" s="498"/>
      <c r="I108" s="430"/>
      <c r="J108" s="68"/>
      <c r="K108" s="68"/>
      <c r="L108" s="68"/>
    </row>
    <row r="109" spans="1:22" ht="13.5" customHeight="1" thickBot="1" x14ac:dyDescent="0.25">
      <c r="A109" s="160"/>
      <c r="B109" s="431"/>
      <c r="C109" s="432"/>
      <c r="D109" s="432" t="s">
        <v>42</v>
      </c>
      <c r="E109" s="433">
        <f>SUM(E107:E108)</f>
        <v>2988.46</v>
      </c>
      <c r="F109" s="433"/>
      <c r="G109" s="504"/>
      <c r="H109" s="555">
        <f t="shared" si="5"/>
        <v>0</v>
      </c>
      <c r="I109" s="434">
        <f>F109/E109*100</f>
        <v>0</v>
      </c>
      <c r="J109" s="68" t="e">
        <f>+#REF!/E109*100</f>
        <v>#REF!</v>
      </c>
      <c r="K109" s="68"/>
      <c r="L109" s="68"/>
    </row>
    <row r="110" spans="1:22" ht="13.5" customHeight="1" thickBot="1" x14ac:dyDescent="0.25">
      <c r="A110" s="160"/>
      <c r="B110" s="435"/>
      <c r="C110" s="640" t="s">
        <v>257</v>
      </c>
      <c r="D110" s="640"/>
      <c r="E110" s="446">
        <f>+E109+E105</f>
        <v>211304.34</v>
      </c>
      <c r="F110" s="446">
        <v>217059.82</v>
      </c>
      <c r="G110" s="505">
        <f>SUM(G105:G109)</f>
        <v>191950</v>
      </c>
      <c r="H110" s="556">
        <f t="shared" si="5"/>
        <v>102.72378693215671</v>
      </c>
      <c r="I110" s="557">
        <f>+G110/F110*100</f>
        <v>88.431843350832963</v>
      </c>
      <c r="J110" s="68"/>
      <c r="K110" s="68"/>
      <c r="L110" s="68"/>
    </row>
    <row r="111" spans="1:22" ht="13.5" customHeight="1" thickBot="1" x14ac:dyDescent="0.25">
      <c r="A111" s="160"/>
      <c r="B111" s="160"/>
      <c r="C111" s="160"/>
      <c r="D111" s="160"/>
      <c r="E111" s="132"/>
      <c r="F111" s="132"/>
      <c r="G111" s="132"/>
      <c r="H111" s="560"/>
      <c r="I111" s="43"/>
      <c r="J111" s="68"/>
      <c r="K111" s="68"/>
      <c r="L111" s="68"/>
    </row>
    <row r="112" spans="1:22" ht="32.450000000000003" customHeight="1" thickBot="1" x14ac:dyDescent="0.25">
      <c r="D112" s="413" t="s">
        <v>299</v>
      </c>
      <c r="E112" s="414">
        <f>+E98+E105</f>
        <v>533915.88</v>
      </c>
      <c r="F112" s="414">
        <f>+F98+F110</f>
        <v>540159.6399999999</v>
      </c>
      <c r="G112" s="506">
        <f>+G98+G110</f>
        <v>530700</v>
      </c>
      <c r="H112" s="562">
        <v>101.17</v>
      </c>
      <c r="I112" s="559">
        <f>+G112/F112*100</f>
        <v>98.248732541365015</v>
      </c>
      <c r="J112" s="68" t="e">
        <f>+#REF!/E112*100</f>
        <v>#REF!</v>
      </c>
      <c r="K112" s="68"/>
      <c r="L112" s="68"/>
    </row>
    <row r="113" spans="1:14" ht="13.5" customHeight="1" thickBot="1" x14ac:dyDescent="0.25">
      <c r="D113" s="19"/>
      <c r="E113" s="132"/>
      <c r="H113" s="561"/>
      <c r="J113" s="68" t="s">
        <v>115</v>
      </c>
      <c r="K113" s="68"/>
      <c r="L113" s="68"/>
      <c r="N113" s="133"/>
    </row>
    <row r="114" spans="1:14" ht="39" thickBot="1" x14ac:dyDescent="0.25">
      <c r="A114" s="294"/>
      <c r="B114" s="305"/>
      <c r="C114" s="306"/>
      <c r="D114" s="307" t="s">
        <v>223</v>
      </c>
      <c r="E114" s="296" t="s">
        <v>137</v>
      </c>
      <c r="F114" s="485" t="s">
        <v>335</v>
      </c>
      <c r="G114" s="485" t="s">
        <v>337</v>
      </c>
      <c r="H114" s="297" t="s">
        <v>336</v>
      </c>
      <c r="I114" s="297" t="s">
        <v>338</v>
      </c>
      <c r="J114" s="259" t="s">
        <v>133</v>
      </c>
      <c r="K114" s="259"/>
      <c r="L114" s="259"/>
      <c r="N114" s="157"/>
    </row>
    <row r="115" spans="1:14" ht="15" customHeight="1" thickBot="1" x14ac:dyDescent="0.25">
      <c r="B115" s="627"/>
      <c r="C115" s="628"/>
      <c r="D115" s="299">
        <v>1</v>
      </c>
      <c r="E115" s="299">
        <v>2</v>
      </c>
      <c r="F115" s="299">
        <v>3</v>
      </c>
      <c r="G115" s="507">
        <v>4</v>
      </c>
      <c r="H115" s="304" t="s">
        <v>221</v>
      </c>
      <c r="I115" s="301" t="s">
        <v>339</v>
      </c>
      <c r="J115" s="68"/>
      <c r="K115" s="68"/>
      <c r="L115" s="68"/>
    </row>
    <row r="116" spans="1:14" x14ac:dyDescent="0.2">
      <c r="A116" s="1"/>
      <c r="B116" s="328" t="s">
        <v>97</v>
      </c>
      <c r="C116" s="329" t="s">
        <v>98</v>
      </c>
      <c r="D116" s="330" t="s">
        <v>8</v>
      </c>
      <c r="E116" s="330"/>
      <c r="F116" s="330"/>
      <c r="G116" s="508"/>
      <c r="H116" s="558"/>
      <c r="I116" s="331"/>
      <c r="J116" s="263"/>
      <c r="K116" s="263"/>
      <c r="L116" s="263"/>
    </row>
    <row r="117" spans="1:14" s="5" customFormat="1" x14ac:dyDescent="0.2">
      <c r="A117"/>
      <c r="B117" s="332" t="s">
        <v>89</v>
      </c>
      <c r="C117" s="309">
        <v>3150</v>
      </c>
      <c r="D117" s="319" t="s">
        <v>296</v>
      </c>
      <c r="E117" s="186">
        <v>35997.629999999997</v>
      </c>
      <c r="F117" s="186">
        <v>35997.629999999997</v>
      </c>
      <c r="G117" s="489">
        <v>36000</v>
      </c>
      <c r="H117" s="498">
        <f t="shared" si="5"/>
        <v>100</v>
      </c>
      <c r="I117" s="333">
        <f>+G117/F117*100</f>
        <v>100.00658376676466</v>
      </c>
      <c r="J117" s="68" t="e">
        <f>+#REF!/E117*100</f>
        <v>#REF!</v>
      </c>
      <c r="K117" s="68"/>
      <c r="L117" s="68"/>
    </row>
    <row r="118" spans="1:14" s="5" customFormat="1" x14ac:dyDescent="0.2">
      <c r="A118"/>
      <c r="B118" s="332" t="s">
        <v>89</v>
      </c>
      <c r="C118" s="309">
        <v>3151</v>
      </c>
      <c r="D118" s="319" t="s">
        <v>54</v>
      </c>
      <c r="E118" s="186">
        <v>21000</v>
      </c>
      <c r="F118" s="186">
        <v>22539.06</v>
      </c>
      <c r="G118" s="489">
        <v>22000</v>
      </c>
      <c r="H118" s="498">
        <f t="shared" si="5"/>
        <v>107.32885714285716</v>
      </c>
      <c r="I118" s="333">
        <f t="shared" ref="I118:I125" si="9">+G118/F118*100</f>
        <v>97.608329717388386</v>
      </c>
      <c r="J118" s="68"/>
      <c r="K118" s="68"/>
      <c r="L118" s="68"/>
    </row>
    <row r="119" spans="1:14" s="5" customFormat="1" x14ac:dyDescent="0.2">
      <c r="A119"/>
      <c r="B119" s="332" t="s">
        <v>89</v>
      </c>
      <c r="C119" s="309">
        <v>3157</v>
      </c>
      <c r="D119" s="319" t="s">
        <v>136</v>
      </c>
      <c r="E119" s="186">
        <v>15000</v>
      </c>
      <c r="F119" s="531">
        <v>23008.42</v>
      </c>
      <c r="G119" s="489">
        <v>27000</v>
      </c>
      <c r="H119" s="498">
        <f t="shared" si="5"/>
        <v>153.38946666666666</v>
      </c>
      <c r="I119" s="333">
        <f t="shared" si="9"/>
        <v>117.3483446494805</v>
      </c>
      <c r="J119" s="68" t="e">
        <f>+#REF!/E119*100</f>
        <v>#REF!</v>
      </c>
      <c r="K119" s="68"/>
      <c r="L119" s="68"/>
    </row>
    <row r="120" spans="1:14" s="5" customFormat="1" x14ac:dyDescent="0.2">
      <c r="A120"/>
      <c r="B120" s="332" t="s">
        <v>89</v>
      </c>
      <c r="C120" s="309">
        <v>3149</v>
      </c>
      <c r="D120" s="319" t="s">
        <v>331</v>
      </c>
      <c r="E120" s="186">
        <f>5717.35</f>
        <v>5717.35</v>
      </c>
      <c r="F120" s="186">
        <v>9607.09</v>
      </c>
      <c r="G120" s="489">
        <v>15000</v>
      </c>
      <c r="H120" s="498">
        <f t="shared" si="5"/>
        <v>168.03396678531138</v>
      </c>
      <c r="I120" s="333">
        <f t="shared" si="9"/>
        <v>156.13468802727985</v>
      </c>
      <c r="J120" s="68"/>
      <c r="K120" s="68"/>
      <c r="L120" s="68"/>
    </row>
    <row r="121" spans="1:14" s="5" customFormat="1" x14ac:dyDescent="0.2">
      <c r="A121"/>
      <c r="B121" s="332" t="s">
        <v>150</v>
      </c>
      <c r="C121" s="309">
        <v>3501</v>
      </c>
      <c r="D121" s="319" t="s">
        <v>326</v>
      </c>
      <c r="E121" s="186">
        <v>22600</v>
      </c>
      <c r="F121" s="186">
        <v>14615.58</v>
      </c>
      <c r="G121" s="489">
        <v>15000</v>
      </c>
      <c r="H121" s="498">
        <f t="shared" ref="H121:H184" si="10">+F121/E121*100</f>
        <v>64.670707964601775</v>
      </c>
      <c r="I121" s="333">
        <f t="shared" si="9"/>
        <v>102.63020694354927</v>
      </c>
      <c r="J121" s="68"/>
      <c r="K121" s="68"/>
      <c r="L121" s="68"/>
    </row>
    <row r="122" spans="1:14" s="5" customFormat="1" x14ac:dyDescent="0.2">
      <c r="A122"/>
      <c r="B122" s="332" t="s">
        <v>89</v>
      </c>
      <c r="C122" s="309">
        <v>3153</v>
      </c>
      <c r="D122" s="320" t="s">
        <v>321</v>
      </c>
      <c r="E122" s="186">
        <v>60000</v>
      </c>
      <c r="F122" s="186">
        <v>63427.75</v>
      </c>
      <c r="G122" s="489">
        <v>62000</v>
      </c>
      <c r="H122" s="498">
        <f t="shared" si="10"/>
        <v>105.71291666666667</v>
      </c>
      <c r="I122" s="333">
        <f t="shared" si="9"/>
        <v>97.749013641505485</v>
      </c>
      <c r="J122" s="68" t="e">
        <f>+#REF!/E122*100</f>
        <v>#REF!</v>
      </c>
      <c r="K122" s="68"/>
      <c r="L122" s="68"/>
    </row>
    <row r="123" spans="1:14" s="5" customFormat="1" x14ac:dyDescent="0.2">
      <c r="A123"/>
      <c r="B123" s="332" t="s">
        <v>89</v>
      </c>
      <c r="C123" s="309">
        <v>3154</v>
      </c>
      <c r="D123" s="320" t="s">
        <v>270</v>
      </c>
      <c r="E123" s="186">
        <v>10665.36</v>
      </c>
      <c r="F123" s="186">
        <v>9102.6200000000008</v>
      </c>
      <c r="G123" s="489">
        <v>12000</v>
      </c>
      <c r="H123" s="498">
        <f t="shared" si="10"/>
        <v>85.34751757090244</v>
      </c>
      <c r="I123" s="333">
        <f t="shared" si="9"/>
        <v>131.83017636680427</v>
      </c>
      <c r="J123" s="68"/>
      <c r="K123" s="68"/>
      <c r="L123" s="68"/>
    </row>
    <row r="124" spans="1:14" s="5" customFormat="1" x14ac:dyDescent="0.2">
      <c r="A124"/>
      <c r="B124" s="332" t="s">
        <v>89</v>
      </c>
      <c r="C124" s="302" t="s">
        <v>162</v>
      </c>
      <c r="D124" s="320" t="s">
        <v>66</v>
      </c>
      <c r="E124" s="186">
        <v>2500</v>
      </c>
      <c r="F124" s="186">
        <v>2500</v>
      </c>
      <c r="G124" s="489">
        <v>2000</v>
      </c>
      <c r="H124" s="498">
        <f t="shared" si="10"/>
        <v>100</v>
      </c>
      <c r="I124" s="333">
        <f t="shared" si="9"/>
        <v>80</v>
      </c>
      <c r="J124" s="68" t="e">
        <f>+#REF!/E124*100</f>
        <v>#REF!</v>
      </c>
      <c r="K124" s="68"/>
      <c r="L124" s="68"/>
    </row>
    <row r="125" spans="1:14" s="5" customFormat="1" x14ac:dyDescent="0.2">
      <c r="A125" s="160"/>
      <c r="B125" s="334"/>
      <c r="C125" s="322"/>
      <c r="D125" s="322" t="s">
        <v>16</v>
      </c>
      <c r="E125" s="323">
        <f>SUM(E117:E124)</f>
        <v>173480.34000000003</v>
      </c>
      <c r="F125" s="323">
        <f>SUM(F117:F124)</f>
        <v>180798.15</v>
      </c>
      <c r="G125" s="509">
        <f>SUM(G117:G124)</f>
        <v>191000</v>
      </c>
      <c r="H125" s="511">
        <f t="shared" si="10"/>
        <v>104.21823591076658</v>
      </c>
      <c r="I125" s="612">
        <f t="shared" si="9"/>
        <v>105.6426738879795</v>
      </c>
      <c r="J125" s="266" t="e">
        <f>+#REF!/E125*100</f>
        <v>#REF!</v>
      </c>
      <c r="K125" s="266"/>
      <c r="L125" s="266"/>
    </row>
    <row r="126" spans="1:14" s="5" customFormat="1" x14ac:dyDescent="0.2">
      <c r="A126" s="1"/>
      <c r="B126" s="336"/>
      <c r="C126" s="318"/>
      <c r="D126" s="318" t="s">
        <v>32</v>
      </c>
      <c r="E126" s="318"/>
      <c r="F126" s="318"/>
      <c r="G126" s="499"/>
      <c r="H126" s="558"/>
      <c r="I126" s="579"/>
      <c r="J126" s="266"/>
      <c r="K126" s="266"/>
      <c r="L126" s="266"/>
    </row>
    <row r="127" spans="1:14" s="5" customFormat="1" x14ac:dyDescent="0.2">
      <c r="A127" s="1"/>
      <c r="B127" s="338" t="s">
        <v>97</v>
      </c>
      <c r="C127" s="317" t="s">
        <v>98</v>
      </c>
      <c r="D127" s="318" t="s">
        <v>36</v>
      </c>
      <c r="E127" s="318"/>
      <c r="F127" s="318"/>
      <c r="G127" s="499"/>
      <c r="H127" s="558"/>
      <c r="I127" s="579"/>
      <c r="J127" s="263"/>
      <c r="K127" s="263"/>
      <c r="L127" s="263"/>
    </row>
    <row r="128" spans="1:14" s="5" customFormat="1" ht="12.75" customHeight="1" x14ac:dyDescent="0.2">
      <c r="A128" s="1"/>
      <c r="B128" s="332" t="s">
        <v>89</v>
      </c>
      <c r="C128" s="309">
        <v>3160</v>
      </c>
      <c r="D128" s="321" t="s">
        <v>25</v>
      </c>
      <c r="E128" s="186">
        <v>6000</v>
      </c>
      <c r="F128" s="186">
        <v>7000.71</v>
      </c>
      <c r="G128" s="489">
        <v>7000</v>
      </c>
      <c r="H128" s="498">
        <f t="shared" si="10"/>
        <v>116.6785</v>
      </c>
      <c r="I128" s="333">
        <f>+G128/F128*100</f>
        <v>99.989858171528311</v>
      </c>
      <c r="J128" s="68" t="e">
        <f>+#REF!/E128*100</f>
        <v>#REF!</v>
      </c>
      <c r="K128" s="68"/>
      <c r="L128" s="68"/>
    </row>
    <row r="129" spans="1:12" s="5" customFormat="1" x14ac:dyDescent="0.2">
      <c r="A129" s="1"/>
      <c r="B129" s="332" t="s">
        <v>89</v>
      </c>
      <c r="C129" s="309">
        <v>3161</v>
      </c>
      <c r="D129" s="321" t="s">
        <v>64</v>
      </c>
      <c r="E129" s="186">
        <v>7100</v>
      </c>
      <c r="F129" s="186">
        <v>10904.71</v>
      </c>
      <c r="G129" s="489">
        <v>9000</v>
      </c>
      <c r="H129" s="498">
        <f t="shared" si="10"/>
        <v>153.58746478873238</v>
      </c>
      <c r="I129" s="333">
        <f t="shared" ref="I129:I134" si="11">+G129/F129*100</f>
        <v>82.533143935051925</v>
      </c>
      <c r="J129" s="68" t="e">
        <f>+#REF!/E129*100</f>
        <v>#REF!</v>
      </c>
      <c r="K129" s="68"/>
      <c r="L129" s="68"/>
    </row>
    <row r="130" spans="1:12" s="5" customFormat="1" x14ac:dyDescent="0.2">
      <c r="A130"/>
      <c r="B130" s="332" t="s">
        <v>89</v>
      </c>
      <c r="C130" s="309">
        <v>3162</v>
      </c>
      <c r="D130" s="321" t="s">
        <v>65</v>
      </c>
      <c r="E130" s="186">
        <v>2600</v>
      </c>
      <c r="F130" s="186">
        <v>1802.51</v>
      </c>
      <c r="G130" s="489">
        <v>1900</v>
      </c>
      <c r="H130" s="498">
        <f t="shared" si="10"/>
        <v>69.327307692307699</v>
      </c>
      <c r="I130" s="333">
        <f t="shared" si="11"/>
        <v>105.40856916189092</v>
      </c>
      <c r="J130" s="68" t="e">
        <f>+#REF!/E130*100</f>
        <v>#REF!</v>
      </c>
      <c r="K130" s="68"/>
      <c r="L130" s="68"/>
    </row>
    <row r="131" spans="1:12" s="5" customFormat="1" x14ac:dyDescent="0.2">
      <c r="A131"/>
      <c r="B131" s="332" t="s">
        <v>89</v>
      </c>
      <c r="C131" s="309">
        <v>3172</v>
      </c>
      <c r="D131" s="320" t="s">
        <v>323</v>
      </c>
      <c r="E131" s="186">
        <v>6100</v>
      </c>
      <c r="F131" s="186">
        <v>7101.41</v>
      </c>
      <c r="G131" s="489">
        <v>7500</v>
      </c>
      <c r="H131" s="498">
        <f t="shared" si="10"/>
        <v>116.41655737704917</v>
      </c>
      <c r="I131" s="333">
        <f t="shared" si="11"/>
        <v>105.61282900156448</v>
      </c>
      <c r="J131" s="68" t="e">
        <f>+#REF!/E131*100</f>
        <v>#REF!</v>
      </c>
      <c r="K131" s="68"/>
      <c r="L131" s="68"/>
    </row>
    <row r="132" spans="1:12" s="5" customFormat="1" x14ac:dyDescent="0.2">
      <c r="A132"/>
      <c r="B132" s="332" t="s">
        <v>89</v>
      </c>
      <c r="C132" s="309">
        <v>3173</v>
      </c>
      <c r="D132" s="320" t="s">
        <v>214</v>
      </c>
      <c r="E132" s="186">
        <v>2800</v>
      </c>
      <c r="F132" s="186">
        <v>1516</v>
      </c>
      <c r="G132" s="489">
        <v>4000</v>
      </c>
      <c r="H132" s="498">
        <f t="shared" si="10"/>
        <v>54.142857142857146</v>
      </c>
      <c r="I132" s="333">
        <f t="shared" si="11"/>
        <v>263.85224274406329</v>
      </c>
      <c r="J132" s="68" t="e">
        <f>+#REF!/E132*100</f>
        <v>#REF!</v>
      </c>
      <c r="K132" s="68"/>
      <c r="L132" s="68"/>
    </row>
    <row r="133" spans="1:12" s="5" customFormat="1" x14ac:dyDescent="0.2">
      <c r="A133"/>
      <c r="B133" s="332" t="s">
        <v>89</v>
      </c>
      <c r="C133" s="309">
        <v>3174</v>
      </c>
      <c r="D133" s="321" t="s">
        <v>50</v>
      </c>
      <c r="E133" s="186">
        <v>1000</v>
      </c>
      <c r="F133" s="186">
        <v>1364.38</v>
      </c>
      <c r="G133" s="489">
        <v>1500</v>
      </c>
      <c r="H133" s="498">
        <f t="shared" si="10"/>
        <v>136.43800000000002</v>
      </c>
      <c r="I133" s="333">
        <f t="shared" si="11"/>
        <v>109.9400460282326</v>
      </c>
      <c r="J133" s="68" t="e">
        <f>+#REF!/E133*100</f>
        <v>#REF!</v>
      </c>
      <c r="K133" s="68"/>
      <c r="L133" s="68"/>
    </row>
    <row r="134" spans="1:12" s="5" customFormat="1" x14ac:dyDescent="0.2">
      <c r="A134" s="160"/>
      <c r="B134" s="334"/>
      <c r="C134" s="322"/>
      <c r="D134" s="322" t="s">
        <v>10</v>
      </c>
      <c r="E134" s="324">
        <f>SUM(E128:E133)</f>
        <v>25600</v>
      </c>
      <c r="F134" s="324">
        <f>SUM(F128:F133)</f>
        <v>29689.719999999998</v>
      </c>
      <c r="G134" s="495">
        <f>SUM(G128:G133)</f>
        <v>30900</v>
      </c>
      <c r="H134" s="555">
        <f t="shared" si="10"/>
        <v>115.97546875</v>
      </c>
      <c r="I134" s="612">
        <f t="shared" si="11"/>
        <v>104.07642780059901</v>
      </c>
      <c r="J134" s="68" t="e">
        <f>+#REF!/E134*100</f>
        <v>#REF!</v>
      </c>
      <c r="K134" s="68"/>
      <c r="L134" s="68"/>
    </row>
    <row r="135" spans="1:12" s="5" customFormat="1" x14ac:dyDescent="0.2">
      <c r="A135" s="1"/>
      <c r="B135" s="336"/>
      <c r="C135" s="318"/>
      <c r="D135" s="318" t="s">
        <v>9</v>
      </c>
      <c r="E135" s="318"/>
      <c r="F135" s="318"/>
      <c r="G135" s="499"/>
      <c r="H135" s="558"/>
      <c r="I135" s="579"/>
      <c r="J135" s="263"/>
      <c r="K135" s="263"/>
      <c r="L135" s="263"/>
    </row>
    <row r="136" spans="1:12" s="5" customFormat="1" x14ac:dyDescent="0.2">
      <c r="A136" s="1"/>
      <c r="B136" s="338" t="s">
        <v>97</v>
      </c>
      <c r="C136" s="317" t="s">
        <v>98</v>
      </c>
      <c r="D136" s="318" t="s">
        <v>13</v>
      </c>
      <c r="E136" s="318"/>
      <c r="F136" s="318"/>
      <c r="G136" s="499"/>
      <c r="H136" s="558"/>
      <c r="I136" s="579"/>
      <c r="J136" s="263"/>
      <c r="K136" s="263"/>
      <c r="L136" s="263"/>
    </row>
    <row r="137" spans="1:12" s="5" customFormat="1" ht="12.75" customHeight="1" x14ac:dyDescent="0.2">
      <c r="A137"/>
      <c r="B137" s="332" t="s">
        <v>89</v>
      </c>
      <c r="C137" s="309">
        <v>3180</v>
      </c>
      <c r="D137" s="320" t="s">
        <v>28</v>
      </c>
      <c r="E137" s="186">
        <v>350</v>
      </c>
      <c r="F137" s="186">
        <v>74.17</v>
      </c>
      <c r="G137" s="489">
        <v>300</v>
      </c>
      <c r="H137" s="498">
        <f t="shared" si="10"/>
        <v>21.191428571428574</v>
      </c>
      <c r="I137" s="333">
        <f>+G137/F137*100</f>
        <v>404.47620331670481</v>
      </c>
      <c r="J137" s="68" t="e">
        <f>+#REF!/E137*100</f>
        <v>#REF!</v>
      </c>
      <c r="K137" s="68"/>
      <c r="L137" s="68"/>
    </row>
    <row r="138" spans="1:12" s="5" customFormat="1" ht="12.75" customHeight="1" x14ac:dyDescent="0.2">
      <c r="A138"/>
      <c r="B138" s="332" t="s">
        <v>89</v>
      </c>
      <c r="C138" s="309">
        <v>3181</v>
      </c>
      <c r="D138" s="320" t="s">
        <v>58</v>
      </c>
      <c r="E138" s="186">
        <f>5200</f>
        <v>5200</v>
      </c>
      <c r="F138" s="186">
        <v>4164.3</v>
      </c>
      <c r="G138" s="489">
        <v>5000</v>
      </c>
      <c r="H138" s="498">
        <f t="shared" si="10"/>
        <v>80.082692307692312</v>
      </c>
      <c r="I138" s="333">
        <f t="shared" ref="I138:I151" si="12">+G138/F138*100</f>
        <v>120.06819873688255</v>
      </c>
      <c r="J138" s="68" t="e">
        <f>+#REF!/E138*100</f>
        <v>#REF!</v>
      </c>
      <c r="K138" s="68"/>
      <c r="L138" s="68"/>
    </row>
    <row r="139" spans="1:12" s="5" customFormat="1" ht="12.75" customHeight="1" x14ac:dyDescent="0.2">
      <c r="A139"/>
      <c r="B139" s="332" t="s">
        <v>89</v>
      </c>
      <c r="C139" s="309">
        <v>3182</v>
      </c>
      <c r="D139" s="319" t="s">
        <v>29</v>
      </c>
      <c r="E139" s="186">
        <v>3500</v>
      </c>
      <c r="F139" s="186">
        <v>1638.92</v>
      </c>
      <c r="G139" s="489">
        <v>3500</v>
      </c>
      <c r="H139" s="498">
        <f t="shared" si="10"/>
        <v>46.826285714285717</v>
      </c>
      <c r="I139" s="333">
        <f t="shared" si="12"/>
        <v>213.55526810338517</v>
      </c>
      <c r="J139" s="68" t="e">
        <f>+#REF!/E139*100</f>
        <v>#REF!</v>
      </c>
      <c r="K139" s="68"/>
      <c r="L139" s="68"/>
    </row>
    <row r="140" spans="1:12" s="5" customFormat="1" ht="12.75" customHeight="1" x14ac:dyDescent="0.2">
      <c r="A140"/>
      <c r="B140" s="332" t="s">
        <v>89</v>
      </c>
      <c r="C140" s="309">
        <v>3183</v>
      </c>
      <c r="D140" s="320" t="s">
        <v>5</v>
      </c>
      <c r="E140" s="186">
        <v>2880</v>
      </c>
      <c r="F140" s="186">
        <v>1574.05</v>
      </c>
      <c r="G140" s="489">
        <v>3000</v>
      </c>
      <c r="H140" s="498">
        <f t="shared" si="10"/>
        <v>54.654513888888886</v>
      </c>
      <c r="I140" s="333">
        <f t="shared" si="12"/>
        <v>190.59115021759158</v>
      </c>
      <c r="J140" s="68" t="e">
        <f>+#REF!/E140*100</f>
        <v>#REF!</v>
      </c>
      <c r="K140" s="68"/>
      <c r="L140" s="68"/>
    </row>
    <row r="141" spans="1:12" s="5" customFormat="1" ht="12.75" customHeight="1" x14ac:dyDescent="0.2">
      <c r="A141"/>
      <c r="B141" s="332" t="s">
        <v>89</v>
      </c>
      <c r="C141" s="309">
        <v>3184</v>
      </c>
      <c r="D141" s="321" t="s">
        <v>6</v>
      </c>
      <c r="E141" s="186">
        <v>4000</v>
      </c>
      <c r="F141" s="186">
        <v>2980.94</v>
      </c>
      <c r="G141" s="489">
        <v>3200</v>
      </c>
      <c r="H141" s="498">
        <f t="shared" si="10"/>
        <v>74.523499999999999</v>
      </c>
      <c r="I141" s="333">
        <f t="shared" si="12"/>
        <v>107.34868866867498</v>
      </c>
      <c r="J141" s="68" t="e">
        <f>+#REF!/E141*100</f>
        <v>#REF!</v>
      </c>
      <c r="K141" s="68"/>
      <c r="L141" s="68"/>
    </row>
    <row r="142" spans="1:12" s="5" customFormat="1" ht="12.75" customHeight="1" x14ac:dyDescent="0.2">
      <c r="A142"/>
      <c r="B142" s="332" t="s">
        <v>89</v>
      </c>
      <c r="C142" s="309">
        <v>3185</v>
      </c>
      <c r="D142" s="321" t="s">
        <v>0</v>
      </c>
      <c r="E142" s="186">
        <v>34000</v>
      </c>
      <c r="F142" s="186">
        <v>27491.43</v>
      </c>
      <c r="G142" s="489">
        <v>15000</v>
      </c>
      <c r="H142" s="498">
        <f t="shared" si="10"/>
        <v>80.857147058823529</v>
      </c>
      <c r="I142" s="333">
        <f t="shared" si="12"/>
        <v>54.562458191516406</v>
      </c>
      <c r="J142" s="68" t="e">
        <f>+#REF!/E142*100</f>
        <v>#REF!</v>
      </c>
      <c r="K142" s="68"/>
      <c r="L142" s="68"/>
    </row>
    <row r="143" spans="1:12" s="5" customFormat="1" ht="12.75" customHeight="1" x14ac:dyDescent="0.2">
      <c r="A143"/>
      <c r="B143" s="332" t="s">
        <v>89</v>
      </c>
      <c r="C143" s="309">
        <v>3186</v>
      </c>
      <c r="D143" s="320" t="s">
        <v>1</v>
      </c>
      <c r="E143" s="186">
        <v>2500</v>
      </c>
      <c r="F143" s="186">
        <v>2977.92</v>
      </c>
      <c r="G143" s="489">
        <v>4000</v>
      </c>
      <c r="H143" s="498">
        <f t="shared" si="10"/>
        <v>119.1168</v>
      </c>
      <c r="I143" s="333">
        <f t="shared" si="12"/>
        <v>134.32194283258113</v>
      </c>
      <c r="J143" s="68" t="e">
        <f>+#REF!/E143*100</f>
        <v>#REF!</v>
      </c>
      <c r="K143" s="68"/>
      <c r="L143" s="68"/>
    </row>
    <row r="144" spans="1:12" s="5" customFormat="1" ht="12.75" customHeight="1" x14ac:dyDescent="0.2">
      <c r="A144"/>
      <c r="B144" s="332" t="s">
        <v>89</v>
      </c>
      <c r="C144" s="309">
        <v>3187</v>
      </c>
      <c r="D144" s="320" t="s">
        <v>14</v>
      </c>
      <c r="E144" s="186">
        <v>6300</v>
      </c>
      <c r="F144" s="186">
        <v>7952.3</v>
      </c>
      <c r="G144" s="489">
        <v>8500</v>
      </c>
      <c r="H144" s="498">
        <f t="shared" si="10"/>
        <v>126.22698412698412</v>
      </c>
      <c r="I144" s="333">
        <f t="shared" si="12"/>
        <v>106.88731561938056</v>
      </c>
      <c r="J144" s="68" t="e">
        <f>+#REF!/E144*100</f>
        <v>#REF!</v>
      </c>
      <c r="K144" s="68"/>
      <c r="L144" s="68"/>
    </row>
    <row r="145" spans="1:14" s="5" customFormat="1" ht="12.75" customHeight="1" x14ac:dyDescent="0.2">
      <c r="A145"/>
      <c r="B145" s="332" t="s">
        <v>89</v>
      </c>
      <c r="C145" s="309">
        <v>3188</v>
      </c>
      <c r="D145" s="320" t="s">
        <v>63</v>
      </c>
      <c r="E145" s="186">
        <v>4000</v>
      </c>
      <c r="F145" s="186">
        <v>2750.47</v>
      </c>
      <c r="G145" s="489">
        <v>4000</v>
      </c>
      <c r="H145" s="498">
        <f t="shared" si="10"/>
        <v>68.761750000000006</v>
      </c>
      <c r="I145" s="333">
        <f t="shared" si="12"/>
        <v>145.42969019840245</v>
      </c>
      <c r="J145" s="68" t="e">
        <f>+#REF!/E145*100</f>
        <v>#REF!</v>
      </c>
      <c r="K145" s="68"/>
      <c r="L145" s="68"/>
    </row>
    <row r="146" spans="1:14" s="5" customFormat="1" ht="12.75" customHeight="1" x14ac:dyDescent="0.2">
      <c r="A146"/>
      <c r="B146" s="332" t="s">
        <v>147</v>
      </c>
      <c r="C146" s="309">
        <v>3189</v>
      </c>
      <c r="D146" s="319" t="s">
        <v>44</v>
      </c>
      <c r="E146" s="186">
        <v>5000</v>
      </c>
      <c r="F146" s="186"/>
      <c r="G146" s="489">
        <v>4000</v>
      </c>
      <c r="H146" s="498">
        <f t="shared" si="10"/>
        <v>0</v>
      </c>
      <c r="I146" s="333"/>
      <c r="J146" s="68" t="e">
        <f>+#REF!/E146*100</f>
        <v>#REF!</v>
      </c>
      <c r="K146" s="68"/>
      <c r="L146" s="68"/>
    </row>
    <row r="147" spans="1:14" s="5" customFormat="1" ht="12.75" customHeight="1" x14ac:dyDescent="0.2">
      <c r="A147"/>
      <c r="B147" s="332" t="s">
        <v>89</v>
      </c>
      <c r="C147" s="309">
        <v>3190</v>
      </c>
      <c r="D147" s="319" t="s">
        <v>324</v>
      </c>
      <c r="E147" s="186">
        <v>9000</v>
      </c>
      <c r="F147" s="186">
        <v>13960.19</v>
      </c>
      <c r="G147" s="489">
        <v>9000</v>
      </c>
      <c r="H147" s="498">
        <f t="shared" si="10"/>
        <v>155.11322222222225</v>
      </c>
      <c r="I147" s="333">
        <f t="shared" si="12"/>
        <v>64.469036596206792</v>
      </c>
      <c r="J147" s="68" t="e">
        <f>+#REF!/E147*100</f>
        <v>#REF!</v>
      </c>
      <c r="K147" s="68"/>
      <c r="L147" s="68"/>
    </row>
    <row r="148" spans="1:14" s="5" customFormat="1" ht="12.75" customHeight="1" x14ac:dyDescent="0.2">
      <c r="A148"/>
      <c r="B148" s="332" t="s">
        <v>89</v>
      </c>
      <c r="C148" s="309">
        <v>3191</v>
      </c>
      <c r="D148" s="319" t="s">
        <v>325</v>
      </c>
      <c r="E148" s="186">
        <f>25000</f>
        <v>25000</v>
      </c>
      <c r="F148" s="186">
        <v>17175.259999999998</v>
      </c>
      <c r="G148" s="489">
        <v>19500</v>
      </c>
      <c r="H148" s="498">
        <f t="shared" si="10"/>
        <v>68.701039999999992</v>
      </c>
      <c r="I148" s="333">
        <f t="shared" si="12"/>
        <v>113.53539917299651</v>
      </c>
      <c r="J148" s="68" t="e">
        <f>+#REF!/E148*100</f>
        <v>#REF!</v>
      </c>
      <c r="K148" s="68"/>
      <c r="L148" s="68"/>
    </row>
    <row r="149" spans="1:14" s="5" customFormat="1" ht="12.75" customHeight="1" x14ac:dyDescent="0.2">
      <c r="A149"/>
      <c r="B149" s="332" t="s">
        <v>89</v>
      </c>
      <c r="C149" s="309">
        <v>3192</v>
      </c>
      <c r="D149" s="319" t="s">
        <v>39</v>
      </c>
      <c r="E149" s="186">
        <v>4000</v>
      </c>
      <c r="F149" s="186">
        <v>1213.33</v>
      </c>
      <c r="G149" s="489">
        <v>3000</v>
      </c>
      <c r="H149" s="498">
        <f t="shared" si="10"/>
        <v>30.33325</v>
      </c>
      <c r="I149" s="333">
        <f t="shared" si="12"/>
        <v>247.25342652040254</v>
      </c>
      <c r="J149" s="68" t="e">
        <f>+#REF!/E149*100</f>
        <v>#REF!</v>
      </c>
      <c r="K149" s="68"/>
      <c r="L149" s="68"/>
    </row>
    <row r="150" spans="1:14" s="5" customFormat="1" ht="12.75" customHeight="1" x14ac:dyDescent="0.2">
      <c r="B150" s="332" t="s">
        <v>89</v>
      </c>
      <c r="C150" s="309">
        <v>3193</v>
      </c>
      <c r="D150" s="321" t="s">
        <v>30</v>
      </c>
      <c r="E150" s="186">
        <v>9000</v>
      </c>
      <c r="F150" s="186">
        <v>11572.02</v>
      </c>
      <c r="G150" s="489">
        <v>12000</v>
      </c>
      <c r="H150" s="498">
        <f t="shared" si="10"/>
        <v>128.578</v>
      </c>
      <c r="I150" s="333">
        <f t="shared" si="12"/>
        <v>103.69840356307714</v>
      </c>
      <c r="J150" s="68" t="e">
        <f>+#REF!/E150*100</f>
        <v>#REF!</v>
      </c>
      <c r="K150" s="68"/>
      <c r="L150" s="68"/>
    </row>
    <row r="151" spans="1:14" s="5" customFormat="1" x14ac:dyDescent="0.2">
      <c r="A151" s="160"/>
      <c r="B151" s="334"/>
      <c r="C151" s="322"/>
      <c r="D151" s="322" t="s">
        <v>15</v>
      </c>
      <c r="E151" s="324">
        <f>SUM(E137:E150)</f>
        <v>114730</v>
      </c>
      <c r="F151" s="324">
        <f>SUM(F137:F150)</f>
        <v>95525.3</v>
      </c>
      <c r="G151" s="495">
        <f>SUM(G137:G150)</f>
        <v>94000</v>
      </c>
      <c r="H151" s="511">
        <f t="shared" si="10"/>
        <v>83.260960515994071</v>
      </c>
      <c r="I151" s="612">
        <f t="shared" si="12"/>
        <v>98.403250238418508</v>
      </c>
      <c r="J151" s="158" t="e">
        <f>SUM(J137:J150)</f>
        <v>#REF!</v>
      </c>
      <c r="K151" s="158"/>
      <c r="L151" s="158"/>
    </row>
    <row r="152" spans="1:14" s="5" customFormat="1" x14ac:dyDescent="0.2">
      <c r="A152" s="1"/>
      <c r="B152" s="338" t="s">
        <v>97</v>
      </c>
      <c r="C152" s="317" t="s">
        <v>98</v>
      </c>
      <c r="D152" s="318" t="s">
        <v>12</v>
      </c>
      <c r="E152" s="318"/>
      <c r="F152" s="318"/>
      <c r="G152" s="499"/>
      <c r="H152" s="558"/>
      <c r="I152" s="579"/>
      <c r="J152" s="263"/>
      <c r="K152" s="263"/>
      <c r="L152" s="263"/>
    </row>
    <row r="153" spans="1:14" s="5" customFormat="1" x14ac:dyDescent="0.2">
      <c r="A153"/>
      <c r="B153" s="332" t="s">
        <v>89</v>
      </c>
      <c r="C153" s="309">
        <v>3200</v>
      </c>
      <c r="D153" s="310" t="s">
        <v>31</v>
      </c>
      <c r="E153" s="186">
        <v>17500</v>
      </c>
      <c r="F153" s="186">
        <v>10169.17</v>
      </c>
      <c r="G153" s="489">
        <v>12000</v>
      </c>
      <c r="H153" s="498">
        <f t="shared" si="10"/>
        <v>58.109542857142863</v>
      </c>
      <c r="I153" s="333">
        <f t="shared" ref="I153:I165" si="13">+G153/F153*100</f>
        <v>118.00373088462479</v>
      </c>
      <c r="J153" s="68" t="e">
        <f>+#REF!/E153*100</f>
        <v>#REF!</v>
      </c>
      <c r="K153" s="68"/>
      <c r="L153" s="68"/>
    </row>
    <row r="154" spans="1:14" s="5" customFormat="1" x14ac:dyDescent="0.2">
      <c r="A154"/>
      <c r="B154" s="332" t="s">
        <v>89</v>
      </c>
      <c r="C154" s="309">
        <v>3202</v>
      </c>
      <c r="D154" s="310" t="s">
        <v>33</v>
      </c>
      <c r="E154" s="186">
        <v>5250</v>
      </c>
      <c r="F154" s="186">
        <v>1652.33</v>
      </c>
      <c r="G154" s="489">
        <v>4000</v>
      </c>
      <c r="H154" s="498">
        <f t="shared" si="10"/>
        <v>31.472952380952378</v>
      </c>
      <c r="I154" s="333">
        <f t="shared" si="13"/>
        <v>242.08239274236988</v>
      </c>
      <c r="J154" s="68" t="e">
        <f>+#REF!/E154*100</f>
        <v>#REF!</v>
      </c>
      <c r="K154" s="68"/>
      <c r="L154" s="68"/>
    </row>
    <row r="155" spans="1:14" s="5" customFormat="1" x14ac:dyDescent="0.2">
      <c r="A155"/>
      <c r="B155" s="332" t="s">
        <v>89</v>
      </c>
      <c r="C155" s="309">
        <v>3203</v>
      </c>
      <c r="D155" s="310" t="s">
        <v>34</v>
      </c>
      <c r="E155" s="186">
        <v>7000</v>
      </c>
      <c r="F155" s="186">
        <v>11633.37</v>
      </c>
      <c r="G155" s="489">
        <v>12000</v>
      </c>
      <c r="H155" s="498">
        <f t="shared" si="10"/>
        <v>166.19100000000003</v>
      </c>
      <c r="I155" s="333">
        <f t="shared" si="13"/>
        <v>103.15153734472469</v>
      </c>
      <c r="J155" s="68" t="e">
        <f>+#REF!/E155*100</f>
        <v>#REF!</v>
      </c>
      <c r="K155" s="68"/>
      <c r="L155" s="68"/>
    </row>
    <row r="156" spans="1:14" s="5" customFormat="1" x14ac:dyDescent="0.2">
      <c r="A156"/>
      <c r="B156" s="332" t="s">
        <v>89</v>
      </c>
      <c r="C156" s="309">
        <v>3205</v>
      </c>
      <c r="D156" s="310" t="s">
        <v>271</v>
      </c>
      <c r="E156" s="186">
        <v>38073.949999999997</v>
      </c>
      <c r="F156" s="186">
        <v>15201.6</v>
      </c>
      <c r="G156" s="489">
        <v>20000</v>
      </c>
      <c r="H156" s="498">
        <f t="shared" si="10"/>
        <v>39.926511433670534</v>
      </c>
      <c r="I156" s="333">
        <f t="shared" si="13"/>
        <v>131.56509841069362</v>
      </c>
      <c r="J156" s="68" t="e">
        <f>+#REF!/E156*100</f>
        <v>#REF!</v>
      </c>
      <c r="K156" s="68"/>
      <c r="L156" s="68"/>
      <c r="M156"/>
    </row>
    <row r="157" spans="1:14" s="5" customFormat="1" ht="13.5" customHeight="1" x14ac:dyDescent="0.2">
      <c r="A157"/>
      <c r="B157" s="332"/>
      <c r="C157" s="309"/>
      <c r="D157" s="417" t="s">
        <v>302</v>
      </c>
      <c r="E157" s="186"/>
      <c r="F157" s="186"/>
      <c r="G157" s="489"/>
      <c r="H157" s="498"/>
      <c r="I157" s="333"/>
      <c r="J157" s="68"/>
      <c r="K157" s="68"/>
      <c r="L157" s="68"/>
      <c r="N157" s="415"/>
    </row>
    <row r="158" spans="1:14" s="5" customFormat="1" x14ac:dyDescent="0.2">
      <c r="A158" s="160"/>
      <c r="B158" s="334"/>
      <c r="C158" s="322"/>
      <c r="D158" s="326" t="s">
        <v>49</v>
      </c>
      <c r="E158" s="327">
        <f>SUM(E153:E156)</f>
        <v>67823.95</v>
      </c>
      <c r="F158" s="327">
        <f>SUM(F153:F157)</f>
        <v>38656.47</v>
      </c>
      <c r="G158" s="510">
        <f>SUM(G153:G157)</f>
        <v>48000</v>
      </c>
      <c r="H158" s="511">
        <f t="shared" si="10"/>
        <v>56.995309179132157</v>
      </c>
      <c r="I158" s="574">
        <f t="shared" si="13"/>
        <v>124.17067569801381</v>
      </c>
      <c r="J158" s="267" t="e">
        <f>+#REF!/E158*100</f>
        <v>#REF!</v>
      </c>
      <c r="K158" s="267"/>
      <c r="L158" s="267"/>
      <c r="N158" s="415"/>
    </row>
    <row r="159" spans="1:14" s="5" customFormat="1" x14ac:dyDescent="0.2">
      <c r="A159" s="1"/>
      <c r="B159" s="338" t="s">
        <v>97</v>
      </c>
      <c r="C159" s="317" t="s">
        <v>98</v>
      </c>
      <c r="D159" s="318" t="s">
        <v>47</v>
      </c>
      <c r="E159" s="318"/>
      <c r="F159" s="318"/>
      <c r="G159" s="499"/>
      <c r="H159" s="558"/>
      <c r="I159" s="579"/>
      <c r="J159" s="263"/>
      <c r="K159" s="263"/>
      <c r="L159" s="263"/>
    </row>
    <row r="160" spans="1:14" s="5" customFormat="1" x14ac:dyDescent="0.2">
      <c r="A160"/>
      <c r="B160" s="332" t="s">
        <v>150</v>
      </c>
      <c r="C160" s="309" t="s">
        <v>344</v>
      </c>
      <c r="D160" s="310" t="s">
        <v>171</v>
      </c>
      <c r="E160" s="186">
        <v>2700</v>
      </c>
      <c r="F160" s="186">
        <v>3699.39</v>
      </c>
      <c r="G160" s="489">
        <v>3000</v>
      </c>
      <c r="H160" s="498">
        <f t="shared" si="10"/>
        <v>137.01444444444445</v>
      </c>
      <c r="I160" s="333">
        <f t="shared" si="13"/>
        <v>81.094450706738144</v>
      </c>
      <c r="J160" s="68" t="e">
        <f>+#REF!/E160*100</f>
        <v>#REF!</v>
      </c>
      <c r="K160" s="68"/>
      <c r="L160" s="68"/>
    </row>
    <row r="161" spans="1:14" s="5" customFormat="1" x14ac:dyDescent="0.2">
      <c r="A161"/>
      <c r="B161" s="332" t="s">
        <v>89</v>
      </c>
      <c r="C161" s="302" t="s">
        <v>322</v>
      </c>
      <c r="D161" s="310" t="s">
        <v>126</v>
      </c>
      <c r="E161" s="186">
        <f>5000</f>
        <v>5000</v>
      </c>
      <c r="F161" s="186">
        <v>2826.04</v>
      </c>
      <c r="G161" s="489">
        <v>5000</v>
      </c>
      <c r="H161" s="498">
        <f t="shared" si="10"/>
        <v>56.520800000000001</v>
      </c>
      <c r="I161" s="333">
        <f t="shared" si="13"/>
        <v>176.9260166168915</v>
      </c>
      <c r="J161" s="68"/>
      <c r="K161" s="68"/>
      <c r="L161" s="68"/>
    </row>
    <row r="162" spans="1:14" s="5" customFormat="1" x14ac:dyDescent="0.2">
      <c r="A162"/>
      <c r="B162" s="332" t="s">
        <v>89</v>
      </c>
      <c r="C162" s="309">
        <v>3206</v>
      </c>
      <c r="D162" s="310" t="s">
        <v>272</v>
      </c>
      <c r="E162" s="186">
        <v>0</v>
      </c>
      <c r="F162" s="186"/>
      <c r="G162" s="489"/>
      <c r="H162" s="498"/>
      <c r="I162" s="333"/>
      <c r="J162" s="68" t="e">
        <f>+#REF!/E162*100</f>
        <v>#REF!</v>
      </c>
      <c r="K162" s="68"/>
      <c r="L162" s="68"/>
    </row>
    <row r="163" spans="1:14" s="5" customFormat="1" x14ac:dyDescent="0.2">
      <c r="A163"/>
      <c r="B163" s="332" t="s">
        <v>89</v>
      </c>
      <c r="C163" s="309">
        <v>3207</v>
      </c>
      <c r="D163" s="310" t="s">
        <v>134</v>
      </c>
      <c r="E163" s="186">
        <v>16000</v>
      </c>
      <c r="F163" s="186"/>
      <c r="G163" s="489"/>
      <c r="H163" s="498">
        <f t="shared" si="10"/>
        <v>0</v>
      </c>
      <c r="I163" s="333"/>
      <c r="J163" s="68"/>
      <c r="K163" s="68"/>
      <c r="L163" s="68"/>
    </row>
    <row r="164" spans="1:14" s="5" customFormat="1" x14ac:dyDescent="0.2">
      <c r="A164"/>
      <c r="B164" s="332" t="s">
        <v>89</v>
      </c>
      <c r="C164" s="309">
        <v>3112</v>
      </c>
      <c r="D164" s="310" t="s">
        <v>59</v>
      </c>
      <c r="E164" s="186">
        <v>0</v>
      </c>
      <c r="F164" s="186"/>
      <c r="G164" s="489"/>
      <c r="H164" s="498"/>
      <c r="I164" s="333"/>
      <c r="J164" s="68" t="e">
        <f>+#REF!/E164*100</f>
        <v>#REF!</v>
      </c>
      <c r="K164" s="68"/>
      <c r="L164" s="68"/>
    </row>
    <row r="165" spans="1:14" s="5" customFormat="1" x14ac:dyDescent="0.2">
      <c r="A165" s="160"/>
      <c r="B165" s="334"/>
      <c r="C165" s="322"/>
      <c r="D165" s="322" t="s">
        <v>48</v>
      </c>
      <c r="E165" s="325">
        <f>SUM(E160:E164)</f>
        <v>23700</v>
      </c>
      <c r="F165" s="325">
        <f>SUM(F160:F164)</f>
        <v>6525.43</v>
      </c>
      <c r="G165" s="511">
        <f>SUM(G160:G164)</f>
        <v>8000</v>
      </c>
      <c r="H165" s="555">
        <f t="shared" si="10"/>
        <v>27.533459915611814</v>
      </c>
      <c r="I165" s="574">
        <f t="shared" si="13"/>
        <v>122.59728477663541</v>
      </c>
      <c r="J165" s="267" t="e">
        <f>+#REF!/E165*100</f>
        <v>#REF!</v>
      </c>
      <c r="K165" s="267"/>
      <c r="L165" s="267"/>
    </row>
    <row r="166" spans="1:14" s="5" customFormat="1" ht="13.5" thickBot="1" x14ac:dyDescent="0.25">
      <c r="A166"/>
      <c r="B166" s="332" t="s">
        <v>89</v>
      </c>
      <c r="C166" s="316">
        <v>3206</v>
      </c>
      <c r="D166" s="339" t="s">
        <v>46</v>
      </c>
      <c r="E166" s="186">
        <v>900</v>
      </c>
      <c r="F166" s="186"/>
      <c r="G166" s="512"/>
      <c r="H166" s="498">
        <f t="shared" si="10"/>
        <v>0</v>
      </c>
      <c r="I166" s="340"/>
      <c r="J166" s="68"/>
      <c r="K166" s="68"/>
      <c r="L166" s="68"/>
    </row>
    <row r="167" spans="1:14" s="5" customFormat="1" ht="13.5" thickBot="1" x14ac:dyDescent="0.25">
      <c r="A167"/>
      <c r="B167" s="629"/>
      <c r="C167" s="630"/>
      <c r="D167" s="436" t="s">
        <v>215</v>
      </c>
      <c r="E167" s="437">
        <v>406234.29</v>
      </c>
      <c r="F167" s="575">
        <v>351195.07</v>
      </c>
      <c r="G167" s="576">
        <f>+G125+G134+G151+G158+G165</f>
        <v>371900</v>
      </c>
      <c r="H167" s="577">
        <f t="shared" si="10"/>
        <v>86.451360371375841</v>
      </c>
      <c r="I167" s="438">
        <f>+G167/F167*100</f>
        <v>105.89556396677209</v>
      </c>
      <c r="J167" s="268" t="e">
        <f>+#REF!/E167*100</f>
        <v>#REF!</v>
      </c>
      <c r="K167" s="268"/>
      <c r="L167" s="268"/>
    </row>
    <row r="168" spans="1:14" s="5" customFormat="1" ht="13.5" thickBot="1" x14ac:dyDescent="0.25">
      <c r="A168"/>
      <c r="B168" s="2"/>
      <c r="C168" s="2"/>
      <c r="D168" s="1"/>
      <c r="E168" s="132"/>
      <c r="F168" s="132"/>
      <c r="G168" s="132"/>
      <c r="H168" s="498"/>
      <c r="I168" s="43"/>
      <c r="J168" s="132"/>
      <c r="K168" s="132"/>
      <c r="L168" s="132"/>
    </row>
    <row r="169" spans="1:14" s="5" customFormat="1" ht="28.15" customHeight="1" thickBot="1" x14ac:dyDescent="0.25">
      <c r="A169"/>
      <c r="B169"/>
      <c r="D169" s="442" t="s">
        <v>298</v>
      </c>
      <c r="E169" s="443">
        <v>734822.75</v>
      </c>
      <c r="F169" s="443">
        <v>891354.71</v>
      </c>
      <c r="G169" s="513">
        <v>902600</v>
      </c>
      <c r="H169" s="578">
        <f>+F169/E169*100</f>
        <v>121.30200242167244</v>
      </c>
      <c r="I169" s="444">
        <f>+G169/F169*100</f>
        <v>101.26159539786354</v>
      </c>
      <c r="J169" s="268" t="e">
        <f>J167+J109+J98</f>
        <v>#REF!</v>
      </c>
      <c r="K169" s="268"/>
      <c r="L169" s="268"/>
    </row>
    <row r="170" spans="1:14" ht="13.5" thickBot="1" x14ac:dyDescent="0.25">
      <c r="D170" s="14"/>
      <c r="E170" s="132"/>
      <c r="F170" s="162"/>
      <c r="G170" s="162"/>
      <c r="H170" s="498"/>
      <c r="I170" s="162"/>
      <c r="J170" s="68"/>
      <c r="K170" s="68"/>
      <c r="L170" s="68"/>
    </row>
    <row r="171" spans="1:14" ht="39" thickBot="1" x14ac:dyDescent="0.25">
      <c r="B171" s="447" t="s">
        <v>97</v>
      </c>
      <c r="C171" s="448" t="s">
        <v>98</v>
      </c>
      <c r="D171" s="419" t="s">
        <v>282</v>
      </c>
      <c r="E171" s="296" t="s">
        <v>137</v>
      </c>
      <c r="F171" s="485" t="s">
        <v>335</v>
      </c>
      <c r="G171" s="485" t="s">
        <v>337</v>
      </c>
      <c r="H171" s="297" t="s">
        <v>336</v>
      </c>
      <c r="I171" s="297" t="s">
        <v>338</v>
      </c>
      <c r="J171" s="269"/>
      <c r="K171" s="269"/>
      <c r="L171" s="269"/>
    </row>
    <row r="172" spans="1:14" x14ac:dyDescent="0.2">
      <c r="B172" s="619" t="s">
        <v>53</v>
      </c>
      <c r="C172" s="625" t="s">
        <v>127</v>
      </c>
      <c r="D172" s="626"/>
      <c r="E172" s="420">
        <f>SUM(E173:E177)</f>
        <v>226277.83</v>
      </c>
      <c r="F172" s="420">
        <v>226108.08</v>
      </c>
      <c r="G172" s="514">
        <v>229997.92</v>
      </c>
      <c r="H172" s="580">
        <f t="shared" si="10"/>
        <v>99.924981603367854</v>
      </c>
      <c r="I172" s="581">
        <f>+G172/F172*100</f>
        <v>101.72034542065018</v>
      </c>
      <c r="J172" s="271" t="e">
        <f>+#REF!/E172*100</f>
        <v>#REF!</v>
      </c>
      <c r="K172" s="271"/>
      <c r="L172" s="271"/>
      <c r="N172" s="412"/>
    </row>
    <row r="173" spans="1:14" x14ac:dyDescent="0.2">
      <c r="B173" s="620"/>
      <c r="C173" s="309">
        <v>10100</v>
      </c>
      <c r="D173" s="310" t="s">
        <v>56</v>
      </c>
      <c r="E173" s="311">
        <f>71500</f>
        <v>71500</v>
      </c>
      <c r="F173" s="311">
        <v>69777.440000000002</v>
      </c>
      <c r="G173" s="515">
        <v>71500</v>
      </c>
      <c r="H173" s="498">
        <f t="shared" si="10"/>
        <v>97.590825174825184</v>
      </c>
      <c r="I173" s="17">
        <f t="shared" ref="I173:I211" si="14">+G173/F173*100</f>
        <v>102.46864889282266</v>
      </c>
      <c r="J173" s="68" t="e">
        <f>+#REF!/E173*100</f>
        <v>#REF!</v>
      </c>
      <c r="K173" s="68"/>
      <c r="L173" s="68"/>
      <c r="N173" s="133"/>
    </row>
    <row r="174" spans="1:14" x14ac:dyDescent="0.2">
      <c r="B174" s="620"/>
      <c r="C174" s="309"/>
      <c r="D174" s="310" t="s">
        <v>45</v>
      </c>
      <c r="E174" s="311">
        <f>125049.17+3000</f>
        <v>128049.17</v>
      </c>
      <c r="F174" s="311">
        <v>122725.23</v>
      </c>
      <c r="G174" s="515">
        <v>133497.92000000001</v>
      </c>
      <c r="H174" s="498">
        <f t="shared" si="10"/>
        <v>95.84226902837402</v>
      </c>
      <c r="I174" s="17">
        <f t="shared" si="14"/>
        <v>108.7778935105683</v>
      </c>
      <c r="J174" s="68"/>
      <c r="K174" s="68"/>
      <c r="L174" s="68"/>
    </row>
    <row r="175" spans="1:14" x14ac:dyDescent="0.2">
      <c r="B175" s="620"/>
      <c r="C175" s="309" t="s">
        <v>327</v>
      </c>
      <c r="D175" s="310" t="s">
        <v>333</v>
      </c>
      <c r="E175" s="312">
        <f>13000</f>
        <v>13000</v>
      </c>
      <c r="F175" s="312">
        <v>10338.15</v>
      </c>
      <c r="G175" s="516">
        <v>5000</v>
      </c>
      <c r="H175" s="498">
        <f t="shared" si="10"/>
        <v>79.524230769230769</v>
      </c>
      <c r="I175" s="17">
        <f t="shared" si="14"/>
        <v>48.364552652070245</v>
      </c>
      <c r="J175" s="68" t="e">
        <f>+#REF!/E175*100</f>
        <v>#REF!</v>
      </c>
      <c r="K175" s="68"/>
      <c r="L175" s="68"/>
    </row>
    <row r="176" spans="1:14" x14ac:dyDescent="0.2">
      <c r="B176" s="620"/>
      <c r="C176" s="309">
        <v>10600</v>
      </c>
      <c r="D176" s="310" t="s">
        <v>347</v>
      </c>
      <c r="E176" s="312"/>
      <c r="F176" s="312">
        <v>6738.6</v>
      </c>
      <c r="G176" s="517">
        <v>5000</v>
      </c>
      <c r="H176" s="498"/>
      <c r="I176" s="17">
        <f t="shared" si="14"/>
        <v>74.199388597037952</v>
      </c>
      <c r="J176" s="68"/>
      <c r="K176" s="68"/>
      <c r="L176" s="68"/>
    </row>
    <row r="177" spans="1:12" x14ac:dyDescent="0.2">
      <c r="B177" s="621"/>
      <c r="C177" s="309">
        <v>10401</v>
      </c>
      <c r="D177" s="310" t="s">
        <v>278</v>
      </c>
      <c r="E177" s="312">
        <f>16728.66-3000</f>
        <v>13728.66</v>
      </c>
      <c r="F177" s="312">
        <v>16528.66</v>
      </c>
      <c r="G177" s="517">
        <v>15000</v>
      </c>
      <c r="H177" s="498">
        <f t="shared" si="10"/>
        <v>120.39528985348898</v>
      </c>
      <c r="I177" s="17">
        <f t="shared" si="14"/>
        <v>90.751458375936096</v>
      </c>
      <c r="J177" s="68"/>
      <c r="K177" s="68"/>
      <c r="L177" s="68"/>
    </row>
    <row r="178" spans="1:12" s="1" customFormat="1" x14ac:dyDescent="0.2">
      <c r="A178"/>
      <c r="B178" s="622">
        <v>33</v>
      </c>
      <c r="C178" s="614" t="s">
        <v>274</v>
      </c>
      <c r="D178" s="615"/>
      <c r="E178" s="422">
        <v>1800</v>
      </c>
      <c r="F178" s="422">
        <v>1800</v>
      </c>
      <c r="G178" s="518">
        <v>1600</v>
      </c>
      <c r="H178" s="558">
        <f t="shared" si="10"/>
        <v>100</v>
      </c>
      <c r="I178" s="582">
        <f t="shared" si="14"/>
        <v>88.888888888888886</v>
      </c>
      <c r="J178" s="270" t="e">
        <f>+#REF!/E178*100</f>
        <v>#REF!</v>
      </c>
      <c r="K178" s="270"/>
      <c r="L178" s="270"/>
    </row>
    <row r="179" spans="1:12" s="1" customFormat="1" x14ac:dyDescent="0.2">
      <c r="A179"/>
      <c r="B179" s="623"/>
      <c r="C179" s="309">
        <v>4001</v>
      </c>
      <c r="D179" s="310" t="s">
        <v>56</v>
      </c>
      <c r="E179" s="311">
        <v>652</v>
      </c>
      <c r="F179" s="311">
        <v>240.81</v>
      </c>
      <c r="G179" s="515"/>
      <c r="H179" s="498">
        <f t="shared" si="10"/>
        <v>36.934049079754601</v>
      </c>
      <c r="I179" s="17"/>
      <c r="J179" s="68" t="e">
        <f>+#REF!/E179*100</f>
        <v>#REF!</v>
      </c>
      <c r="K179" s="68"/>
      <c r="L179" s="68"/>
    </row>
    <row r="180" spans="1:12" s="1" customFormat="1" x14ac:dyDescent="0.2">
      <c r="A180"/>
      <c r="B180" s="624"/>
      <c r="C180" s="309" t="s">
        <v>283</v>
      </c>
      <c r="D180" s="310" t="s">
        <v>45</v>
      </c>
      <c r="E180" s="311">
        <v>528</v>
      </c>
      <c r="F180" s="554">
        <v>1559.19</v>
      </c>
      <c r="G180" s="515">
        <v>1600</v>
      </c>
      <c r="H180" s="498">
        <f t="shared" si="10"/>
        <v>295.30113636363637</v>
      </c>
      <c r="I180" s="17">
        <f t="shared" si="14"/>
        <v>102.61738466768</v>
      </c>
      <c r="J180" s="68" t="e">
        <f>+#REF!/E180*100</f>
        <v>#REF!</v>
      </c>
      <c r="K180" s="68"/>
      <c r="L180" s="68"/>
    </row>
    <row r="181" spans="1:12" x14ac:dyDescent="0.2">
      <c r="B181" s="622" t="s">
        <v>114</v>
      </c>
      <c r="C181" s="614" t="s">
        <v>267</v>
      </c>
      <c r="D181" s="615"/>
      <c r="E181" s="422">
        <f>SUM(E182:E183)</f>
        <v>0</v>
      </c>
      <c r="F181" s="422"/>
      <c r="G181" s="519"/>
      <c r="H181" s="558"/>
      <c r="I181" s="582"/>
      <c r="J181" s="270" t="e">
        <f>+#REF!/E181*100</f>
        <v>#REF!</v>
      </c>
      <c r="K181" s="270"/>
      <c r="L181" s="270"/>
    </row>
    <row r="182" spans="1:12" x14ac:dyDescent="0.2">
      <c r="A182" s="1"/>
      <c r="B182" s="623"/>
      <c r="C182" s="302"/>
      <c r="D182" s="310" t="s">
        <v>56</v>
      </c>
      <c r="E182" s="125">
        <v>0</v>
      </c>
      <c r="F182" s="125"/>
      <c r="G182" s="131"/>
      <c r="H182" s="498"/>
      <c r="I182" s="17"/>
      <c r="J182" s="68" t="e">
        <f>+#REF!/E182*100</f>
        <v>#REF!</v>
      </c>
      <c r="K182" s="68"/>
      <c r="L182" s="68"/>
    </row>
    <row r="183" spans="1:12" x14ac:dyDescent="0.2">
      <c r="A183" s="1"/>
      <c r="B183" s="624"/>
      <c r="C183" s="302"/>
      <c r="D183" s="310" t="s">
        <v>45</v>
      </c>
      <c r="E183" s="125">
        <v>0</v>
      </c>
      <c r="F183" s="125"/>
      <c r="G183" s="131"/>
      <c r="H183" s="498"/>
      <c r="I183" s="17"/>
      <c r="J183" s="68" t="e">
        <f>+#REF!/E183*100</f>
        <v>#REF!</v>
      </c>
      <c r="K183" s="68"/>
      <c r="L183" s="68"/>
    </row>
    <row r="184" spans="1:12" s="1" customFormat="1" x14ac:dyDescent="0.2">
      <c r="A184"/>
      <c r="B184" s="622">
        <v>38</v>
      </c>
      <c r="C184" s="614" t="s">
        <v>265</v>
      </c>
      <c r="D184" s="615"/>
      <c r="E184" s="422">
        <v>8786</v>
      </c>
      <c r="F184" s="422">
        <v>5366.94</v>
      </c>
      <c r="G184" s="518"/>
      <c r="H184" s="558">
        <f t="shared" si="10"/>
        <v>61.085135442749831</v>
      </c>
      <c r="I184" s="582"/>
      <c r="J184" s="270" t="e">
        <f>+#REF!/E184*100</f>
        <v>#REF!</v>
      </c>
      <c r="K184" s="270"/>
      <c r="L184" s="270"/>
    </row>
    <row r="185" spans="1:12" s="1" customFormat="1" x14ac:dyDescent="0.2">
      <c r="A185"/>
      <c r="B185" s="623"/>
      <c r="C185" s="309" t="s">
        <v>328</v>
      </c>
      <c r="D185" s="310" t="s">
        <v>56</v>
      </c>
      <c r="E185" s="311">
        <v>8786</v>
      </c>
      <c r="F185" s="311">
        <v>5366.94</v>
      </c>
      <c r="G185" s="515"/>
      <c r="H185" s="498">
        <f t="shared" ref="H185:H210" si="15">+F185/E185*100</f>
        <v>61.085135442749831</v>
      </c>
      <c r="I185" s="17"/>
      <c r="J185" s="68" t="e">
        <f>+#REF!/E185*100</f>
        <v>#REF!</v>
      </c>
      <c r="K185" s="68"/>
      <c r="L185" s="68"/>
    </row>
    <row r="186" spans="1:12" s="1" customFormat="1" x14ac:dyDescent="0.2">
      <c r="A186"/>
      <c r="B186" s="624"/>
      <c r="C186" s="309"/>
      <c r="D186" s="310" t="s">
        <v>45</v>
      </c>
      <c r="E186" s="311"/>
      <c r="F186" s="311"/>
      <c r="G186" s="515"/>
      <c r="H186" s="498"/>
      <c r="I186" s="17"/>
      <c r="J186" s="68" t="e">
        <f>+#REF!/E186*100</f>
        <v>#REF!</v>
      </c>
      <c r="K186" s="68"/>
      <c r="L186" s="68"/>
    </row>
    <row r="187" spans="1:12" x14ac:dyDescent="0.2">
      <c r="B187" s="622">
        <v>39</v>
      </c>
      <c r="C187" s="614" t="s">
        <v>266</v>
      </c>
      <c r="D187" s="615"/>
      <c r="E187" s="422">
        <v>2000</v>
      </c>
      <c r="F187" s="422">
        <v>3833.9</v>
      </c>
      <c r="G187" s="518"/>
      <c r="H187" s="558">
        <f t="shared" si="15"/>
        <v>191.69500000000002</v>
      </c>
      <c r="I187" s="582"/>
      <c r="J187" s="270" t="e">
        <f>+#REF!/E187*100</f>
        <v>#REF!</v>
      </c>
      <c r="K187" s="270"/>
      <c r="L187" s="270"/>
    </row>
    <row r="188" spans="1:12" x14ac:dyDescent="0.2">
      <c r="B188" s="623"/>
      <c r="C188" s="309">
        <v>4193</v>
      </c>
      <c r="D188" s="310" t="s">
        <v>56</v>
      </c>
      <c r="E188" s="311">
        <v>2000</v>
      </c>
      <c r="F188" s="311">
        <v>3833.9</v>
      </c>
      <c r="G188" s="515"/>
      <c r="H188" s="498">
        <f t="shared" si="15"/>
        <v>191.69500000000002</v>
      </c>
      <c r="I188" s="17"/>
      <c r="J188" s="68" t="e">
        <f>+#REF!/E188*100</f>
        <v>#REF!</v>
      </c>
      <c r="K188" s="68"/>
      <c r="L188" s="68"/>
    </row>
    <row r="189" spans="1:12" x14ac:dyDescent="0.2">
      <c r="B189" s="624"/>
      <c r="C189" s="309"/>
      <c r="D189" s="310" t="s">
        <v>45</v>
      </c>
      <c r="E189" s="125"/>
      <c r="F189" s="311">
        <v>0</v>
      </c>
      <c r="G189" s="515"/>
      <c r="H189" s="498"/>
      <c r="I189" s="17"/>
      <c r="J189" s="68" t="e">
        <f>+#REF!/E189*100</f>
        <v>#REF!</v>
      </c>
      <c r="K189" s="68"/>
      <c r="L189" s="68"/>
    </row>
    <row r="190" spans="1:12" x14ac:dyDescent="0.2">
      <c r="B190" s="622" t="s">
        <v>163</v>
      </c>
      <c r="C190" s="614" t="s">
        <v>217</v>
      </c>
      <c r="D190" s="615"/>
      <c r="E190" s="422"/>
      <c r="F190" s="422">
        <f>SUM(F191:F193)</f>
        <v>0</v>
      </c>
      <c r="G190" s="519"/>
      <c r="H190" s="558"/>
      <c r="I190" s="582"/>
      <c r="J190" s="270" t="e">
        <f>+#REF!/E190*100</f>
        <v>#REF!</v>
      </c>
      <c r="K190" s="270"/>
      <c r="L190" s="270"/>
    </row>
    <row r="191" spans="1:12" x14ac:dyDescent="0.2">
      <c r="B191" s="623"/>
      <c r="C191" s="302"/>
      <c r="D191" s="310" t="s">
        <v>56</v>
      </c>
      <c r="E191" s="125"/>
      <c r="F191" s="125">
        <v>0</v>
      </c>
      <c r="G191" s="144"/>
      <c r="H191" s="498"/>
      <c r="I191" s="17"/>
      <c r="J191" s="68">
        <v>0</v>
      </c>
      <c r="K191" s="68"/>
      <c r="L191" s="68"/>
    </row>
    <row r="192" spans="1:12" x14ac:dyDescent="0.2">
      <c r="B192" s="623"/>
      <c r="C192" s="302"/>
      <c r="D192" s="310" t="s">
        <v>45</v>
      </c>
      <c r="E192" s="125"/>
      <c r="F192" s="125">
        <v>0</v>
      </c>
      <c r="G192" s="131"/>
      <c r="H192" s="498"/>
      <c r="I192" s="17"/>
      <c r="J192" s="68">
        <v>0</v>
      </c>
      <c r="K192" s="68"/>
      <c r="L192" s="68"/>
    </row>
    <row r="193" spans="1:14" x14ac:dyDescent="0.2">
      <c r="B193" s="624"/>
      <c r="C193" s="302"/>
      <c r="D193" s="310" t="s">
        <v>132</v>
      </c>
      <c r="E193" s="125"/>
      <c r="F193" s="125">
        <v>0</v>
      </c>
      <c r="G193" s="131"/>
      <c r="H193" s="498"/>
      <c r="I193" s="17"/>
      <c r="J193" s="68"/>
      <c r="K193" s="68"/>
      <c r="L193" s="68"/>
    </row>
    <row r="194" spans="1:14" x14ac:dyDescent="0.2">
      <c r="A194" s="1"/>
      <c r="B194" s="622" t="s">
        <v>164</v>
      </c>
      <c r="C194" s="614" t="s">
        <v>216</v>
      </c>
      <c r="D194" s="615"/>
      <c r="E194" s="422">
        <v>26244.62</v>
      </c>
      <c r="F194" s="422">
        <v>34991</v>
      </c>
      <c r="G194" s="519">
        <v>24660</v>
      </c>
      <c r="H194" s="558">
        <f t="shared" si="15"/>
        <v>133.32637317667394</v>
      </c>
      <c r="I194" s="582">
        <f t="shared" si="14"/>
        <v>70.475265068160382</v>
      </c>
      <c r="J194" s="270"/>
      <c r="K194" s="270"/>
      <c r="L194" s="270"/>
      <c r="N194" s="418"/>
    </row>
    <row r="195" spans="1:14" x14ac:dyDescent="0.2">
      <c r="A195" s="1"/>
      <c r="B195" s="623"/>
      <c r="C195" s="309">
        <v>4702</v>
      </c>
      <c r="D195" s="310" t="s">
        <v>56</v>
      </c>
      <c r="E195" s="314">
        <v>17500</v>
      </c>
      <c r="F195" s="314">
        <v>25314.87</v>
      </c>
      <c r="G195" s="520">
        <v>18600</v>
      </c>
      <c r="H195" s="498">
        <f t="shared" si="15"/>
        <v>144.65639999999999</v>
      </c>
      <c r="I195" s="17">
        <f t="shared" si="14"/>
        <v>73.474602081701391</v>
      </c>
      <c r="J195" s="68">
        <v>0</v>
      </c>
      <c r="K195" s="68"/>
      <c r="L195" s="68"/>
    </row>
    <row r="196" spans="1:14" x14ac:dyDescent="0.2">
      <c r="B196" s="624"/>
      <c r="C196" s="309">
        <v>4705</v>
      </c>
      <c r="D196" s="310" t="s">
        <v>278</v>
      </c>
      <c r="E196" s="314">
        <v>8744.6200000000008</v>
      </c>
      <c r="F196" s="314">
        <v>9676.1299999999992</v>
      </c>
      <c r="G196" s="520">
        <v>6060</v>
      </c>
      <c r="H196" s="498">
        <f t="shared" si="15"/>
        <v>110.65237826229153</v>
      </c>
      <c r="I196" s="17">
        <f t="shared" si="14"/>
        <v>62.628344183056662</v>
      </c>
      <c r="J196" s="68"/>
      <c r="K196" s="68"/>
      <c r="L196" s="68"/>
    </row>
    <row r="197" spans="1:14" x14ac:dyDescent="0.2">
      <c r="B197" s="622">
        <v>49</v>
      </c>
      <c r="C197" s="614" t="s">
        <v>227</v>
      </c>
      <c r="D197" s="615"/>
      <c r="E197" s="422">
        <f>SUM(E198:E200)</f>
        <v>36150</v>
      </c>
      <c r="F197" s="422">
        <v>36150</v>
      </c>
      <c r="G197" s="519">
        <v>32975</v>
      </c>
      <c r="H197" s="558">
        <f t="shared" si="15"/>
        <v>100</v>
      </c>
      <c r="I197" s="582">
        <f t="shared" si="14"/>
        <v>91.217150760719221</v>
      </c>
      <c r="J197" s="68"/>
      <c r="K197" s="68"/>
      <c r="L197" s="68"/>
      <c r="N197" s="412"/>
    </row>
    <row r="198" spans="1:14" x14ac:dyDescent="0.2">
      <c r="B198" s="623"/>
      <c r="C198" s="309">
        <v>4901</v>
      </c>
      <c r="D198" s="310" t="s">
        <v>56</v>
      </c>
      <c r="E198" s="314">
        <v>22520</v>
      </c>
      <c r="F198" s="314">
        <v>18732.560000000001</v>
      </c>
      <c r="G198" s="520">
        <v>18451.439999999999</v>
      </c>
      <c r="H198" s="498">
        <f t="shared" si="15"/>
        <v>83.181882770870345</v>
      </c>
      <c r="I198" s="17">
        <f t="shared" si="14"/>
        <v>98.499297479895958</v>
      </c>
      <c r="J198" s="68"/>
      <c r="K198" s="68"/>
      <c r="L198" s="68"/>
    </row>
    <row r="199" spans="1:14" x14ac:dyDescent="0.2">
      <c r="B199" s="623"/>
      <c r="C199" s="309">
        <v>4903</v>
      </c>
      <c r="D199" s="310" t="s">
        <v>45</v>
      </c>
      <c r="E199" s="314">
        <v>3407.5</v>
      </c>
      <c r="F199" s="314">
        <v>3272.53</v>
      </c>
      <c r="G199" s="520">
        <v>3248.75</v>
      </c>
      <c r="H199" s="498">
        <f t="shared" si="15"/>
        <v>96.03903154805576</v>
      </c>
      <c r="I199" s="17">
        <f t="shared" si="14"/>
        <v>99.273345087745554</v>
      </c>
      <c r="J199" s="68"/>
      <c r="K199" s="68"/>
      <c r="L199" s="68"/>
    </row>
    <row r="200" spans="1:14" x14ac:dyDescent="0.2">
      <c r="B200" s="624"/>
      <c r="C200" s="309">
        <v>4904</v>
      </c>
      <c r="D200" s="310" t="s">
        <v>278</v>
      </c>
      <c r="E200" s="314">
        <v>10222.5</v>
      </c>
      <c r="F200" s="314">
        <v>14144.91</v>
      </c>
      <c r="G200" s="520">
        <v>11274.81</v>
      </c>
      <c r="H200" s="498">
        <f t="shared" si="15"/>
        <v>138.37035950110049</v>
      </c>
      <c r="I200" s="17">
        <f t="shared" si="14"/>
        <v>79.709308860925944</v>
      </c>
      <c r="J200" s="68"/>
      <c r="K200" s="68"/>
      <c r="L200" s="68"/>
    </row>
    <row r="201" spans="1:14" x14ac:dyDescent="0.2">
      <c r="B201" s="622">
        <v>50</v>
      </c>
      <c r="C201" s="614" t="s">
        <v>224</v>
      </c>
      <c r="D201" s="615"/>
      <c r="E201" s="422">
        <f>E202</f>
        <v>20239.2</v>
      </c>
      <c r="F201" s="422">
        <v>8764.0499999999993</v>
      </c>
      <c r="G201" s="519">
        <v>26675.4</v>
      </c>
      <c r="H201" s="558">
        <f t="shared" si="15"/>
        <v>43.302353847978175</v>
      </c>
      <c r="I201" s="582">
        <f t="shared" si="14"/>
        <v>304.37297824635874</v>
      </c>
      <c r="J201" s="68"/>
      <c r="K201" s="68"/>
      <c r="L201" s="68"/>
    </row>
    <row r="202" spans="1:14" x14ac:dyDescent="0.2">
      <c r="B202" s="624"/>
      <c r="C202" s="309">
        <v>5010</v>
      </c>
      <c r="D202" s="310" t="s">
        <v>56</v>
      </c>
      <c r="E202" s="125">
        <v>20239.2</v>
      </c>
      <c r="F202" s="125">
        <v>8764.0499999999993</v>
      </c>
      <c r="G202" s="131">
        <v>26675.4</v>
      </c>
      <c r="H202" s="498">
        <f t="shared" si="15"/>
        <v>43.302353847978175</v>
      </c>
      <c r="I202" s="17">
        <f t="shared" si="14"/>
        <v>304.37297824635874</v>
      </c>
      <c r="J202" s="68"/>
      <c r="K202" s="68"/>
      <c r="L202" s="68"/>
    </row>
    <row r="203" spans="1:14" x14ac:dyDescent="0.2">
      <c r="B203" s="315" t="s">
        <v>89</v>
      </c>
      <c r="C203" s="309"/>
      <c r="D203" s="421" t="s">
        <v>144</v>
      </c>
      <c r="E203" s="422">
        <v>15000</v>
      </c>
      <c r="F203" s="422"/>
      <c r="G203" s="519">
        <v>1800</v>
      </c>
      <c r="H203" s="558">
        <f t="shared" si="15"/>
        <v>0</v>
      </c>
      <c r="I203" s="582"/>
      <c r="J203" s="68"/>
      <c r="K203" s="68"/>
      <c r="L203" s="68"/>
    </row>
    <row r="204" spans="1:14" x14ac:dyDescent="0.2">
      <c r="B204" s="315" t="s">
        <v>89</v>
      </c>
      <c r="C204" s="309">
        <v>5601</v>
      </c>
      <c r="D204" s="421" t="s">
        <v>273</v>
      </c>
      <c r="E204" s="422">
        <v>8000</v>
      </c>
      <c r="F204" s="422">
        <v>13775.43</v>
      </c>
      <c r="G204" s="519">
        <v>2000</v>
      </c>
      <c r="H204" s="558">
        <f t="shared" si="15"/>
        <v>172.19287500000002</v>
      </c>
      <c r="I204" s="582">
        <f t="shared" si="14"/>
        <v>14.518603049051826</v>
      </c>
      <c r="J204" s="68"/>
      <c r="K204" s="68"/>
      <c r="L204" s="68"/>
    </row>
    <row r="205" spans="1:14" x14ac:dyDescent="0.2">
      <c r="B205" s="315" t="s">
        <v>89</v>
      </c>
      <c r="C205" s="309">
        <v>4801</v>
      </c>
      <c r="D205" s="423" t="s">
        <v>277</v>
      </c>
      <c r="E205" s="424">
        <v>600</v>
      </c>
      <c r="F205" s="424">
        <v>600</v>
      </c>
      <c r="G205" s="521">
        <v>1800</v>
      </c>
      <c r="H205" s="558">
        <f t="shared" si="15"/>
        <v>100</v>
      </c>
      <c r="I205" s="582">
        <f t="shared" si="14"/>
        <v>300</v>
      </c>
      <c r="J205" s="68"/>
      <c r="K205" s="68"/>
      <c r="L205" s="68"/>
    </row>
    <row r="206" spans="1:14" ht="13.5" thickBot="1" x14ac:dyDescent="0.25">
      <c r="B206" s="476" t="s">
        <v>89</v>
      </c>
      <c r="C206" s="316">
        <v>3311</v>
      </c>
      <c r="D206" s="477" t="s">
        <v>52</v>
      </c>
      <c r="E206" s="478">
        <v>1250</v>
      </c>
      <c r="F206" s="478">
        <v>1000</v>
      </c>
      <c r="G206" s="522">
        <v>1500</v>
      </c>
      <c r="H206" s="585">
        <f t="shared" si="15"/>
        <v>80</v>
      </c>
      <c r="I206" s="586">
        <f t="shared" si="14"/>
        <v>150</v>
      </c>
      <c r="J206" s="270" t="e">
        <f>+#REF!/E206*100</f>
        <v>#REF!</v>
      </c>
      <c r="K206" s="270"/>
      <c r="L206" s="270"/>
    </row>
    <row r="207" spans="1:14" ht="16.5" customHeight="1" thickBot="1" x14ac:dyDescent="0.25">
      <c r="B207" s="616" t="s">
        <v>43</v>
      </c>
      <c r="C207" s="617"/>
      <c r="D207" s="618"/>
      <c r="E207" s="445">
        <v>346347.65</v>
      </c>
      <c r="F207" s="445">
        <v>332389.40000000002</v>
      </c>
      <c r="G207" s="523">
        <f>+G172+G178+G194+G197+G201+G203+G204+G205+G206</f>
        <v>323008.32000000007</v>
      </c>
      <c r="H207" s="587">
        <f t="shared" si="15"/>
        <v>95.969873045190297</v>
      </c>
      <c r="I207" s="588">
        <f t="shared" si="14"/>
        <v>97.177683764885415</v>
      </c>
      <c r="J207" s="68"/>
      <c r="K207" s="68"/>
      <c r="L207" s="68"/>
      <c r="M207" s="412"/>
      <c r="N207" s="418"/>
    </row>
    <row r="208" spans="1:14" ht="16.5" customHeight="1" thickBot="1" x14ac:dyDescent="0.25">
      <c r="B208" s="440"/>
      <c r="C208" s="440"/>
      <c r="D208" s="440"/>
      <c r="E208" s="441"/>
      <c r="F208" s="441"/>
      <c r="G208" s="441"/>
      <c r="H208" s="584"/>
      <c r="I208" s="458"/>
      <c r="J208" s="68"/>
      <c r="K208" s="68"/>
      <c r="L208" s="68"/>
      <c r="M208" s="412"/>
      <c r="N208" s="418"/>
    </row>
    <row r="209" spans="1:14" ht="21" customHeight="1" thickBot="1" x14ac:dyDescent="0.25">
      <c r="C209" s="163"/>
      <c r="D209" s="479" t="s">
        <v>294</v>
      </c>
      <c r="E209" s="480">
        <f>+E207+E167</f>
        <v>752581.94</v>
      </c>
      <c r="F209" s="480">
        <f>+F167+F207</f>
        <v>683584.47</v>
      </c>
      <c r="G209" s="524">
        <v>694908.32</v>
      </c>
      <c r="H209" s="595">
        <f t="shared" si="15"/>
        <v>90.831899314511858</v>
      </c>
      <c r="I209" s="596">
        <f t="shared" si="14"/>
        <v>101.65653997376505</v>
      </c>
      <c r="J209" s="267" t="e">
        <f>+#REF!/E209*100</f>
        <v>#REF!</v>
      </c>
      <c r="K209" s="267"/>
      <c r="L209" s="68"/>
      <c r="M209" s="86"/>
      <c r="N209" s="133"/>
    </row>
    <row r="210" spans="1:14" ht="13.5" thickBot="1" x14ac:dyDescent="0.25">
      <c r="B210" s="454" t="s">
        <v>89</v>
      </c>
      <c r="C210" s="309">
        <v>3210</v>
      </c>
      <c r="D210" s="481" t="s">
        <v>348</v>
      </c>
      <c r="E210" s="137">
        <v>5000</v>
      </c>
      <c r="F210" s="137">
        <v>7723.76</v>
      </c>
      <c r="G210" s="469">
        <v>7000</v>
      </c>
      <c r="H210" s="589">
        <f t="shared" si="15"/>
        <v>154.4752</v>
      </c>
      <c r="I210" s="590">
        <f t="shared" si="14"/>
        <v>90.629434368753039</v>
      </c>
      <c r="J210" s="68" t="e">
        <f>+#REF!/E210*100</f>
        <v>#REF!</v>
      </c>
      <c r="K210" s="68"/>
      <c r="L210" s="68"/>
      <c r="N210" s="133"/>
    </row>
    <row r="211" spans="1:14" ht="21" customHeight="1" thickBot="1" x14ac:dyDescent="0.25">
      <c r="D211" s="482" t="s">
        <v>297</v>
      </c>
      <c r="E211" s="483">
        <f>+E98+E110+E167+E207+E210</f>
        <v>1294486.2799999998</v>
      </c>
      <c r="F211" s="483">
        <f>+F98+F110+F167+F207+F210</f>
        <v>1231467.8699999999</v>
      </c>
      <c r="G211" s="525">
        <f>G98+G110+G167+G207+G210</f>
        <v>1232608.32</v>
      </c>
      <c r="H211" s="593">
        <v>95.14</v>
      </c>
      <c r="I211" s="594">
        <f t="shared" si="14"/>
        <v>100.09260899352577</v>
      </c>
      <c r="J211" s="68" t="e">
        <f>+#REF!/E211*100</f>
        <v>#REF!</v>
      </c>
      <c r="K211" s="68"/>
      <c r="L211" s="68"/>
      <c r="N211" s="133"/>
    </row>
    <row r="212" spans="1:14" ht="13.5" thickBot="1" x14ac:dyDescent="0.25">
      <c r="D212" s="439" t="s">
        <v>40</v>
      </c>
      <c r="E212" s="308">
        <v>0</v>
      </c>
      <c r="F212" s="411">
        <f>+F45-F211</f>
        <v>26112.180000000168</v>
      </c>
      <c r="G212" s="526">
        <v>49.6</v>
      </c>
      <c r="H212" s="591"/>
      <c r="I212" s="592">
        <f>+G212/F212</f>
        <v>1.8994967099644564E-3</v>
      </c>
      <c r="J212" s="68"/>
      <c r="K212" s="68"/>
      <c r="L212" s="68"/>
    </row>
    <row r="213" spans="1:14" x14ac:dyDescent="0.2">
      <c r="D213" s="14"/>
      <c r="I213" s="583"/>
      <c r="J213" s="68"/>
      <c r="K213" s="68"/>
      <c r="L213" s="68"/>
    </row>
    <row r="214" spans="1:14" x14ac:dyDescent="0.2">
      <c r="D214" s="14"/>
      <c r="E214" s="124"/>
      <c r="F214" s="412"/>
      <c r="G214" s="412"/>
      <c r="H214" s="412"/>
      <c r="J214" s="68"/>
      <c r="K214" s="68"/>
      <c r="L214" s="68"/>
    </row>
    <row r="215" spans="1:14" x14ac:dyDescent="0.2">
      <c r="A215" s="1"/>
      <c r="B215" s="1"/>
      <c r="J215" s="68"/>
      <c r="K215" s="68"/>
      <c r="L215" s="68"/>
    </row>
    <row r="216" spans="1:14" ht="24" customHeight="1" x14ac:dyDescent="0.2">
      <c r="E216" s="9"/>
      <c r="J216" s="68"/>
      <c r="K216" s="68"/>
      <c r="L216" s="68"/>
    </row>
    <row r="217" spans="1:14" ht="24" customHeight="1" x14ac:dyDescent="0.2">
      <c r="J217" s="68"/>
      <c r="K217" s="68"/>
      <c r="L217" s="68"/>
    </row>
    <row r="218" spans="1:14" x14ac:dyDescent="0.2">
      <c r="E218" s="15"/>
      <c r="F218" s="9"/>
      <c r="G218" s="9"/>
      <c r="H218" s="9"/>
      <c r="I218" s="9"/>
      <c r="J218" s="68"/>
      <c r="K218" s="68"/>
      <c r="L218" s="68"/>
    </row>
    <row r="219" spans="1:14" x14ac:dyDescent="0.2">
      <c r="J219" s="68"/>
      <c r="K219" s="68"/>
      <c r="L219" s="68"/>
    </row>
    <row r="220" spans="1:14" x14ac:dyDescent="0.2">
      <c r="J220" s="68"/>
      <c r="K220" s="68"/>
      <c r="L220" s="68"/>
    </row>
    <row r="221" spans="1:14" x14ac:dyDescent="0.2">
      <c r="J221" s="68"/>
      <c r="K221" s="68"/>
      <c r="L221" s="68"/>
    </row>
    <row r="222" spans="1:14" x14ac:dyDescent="0.2">
      <c r="D222" s="6"/>
      <c r="J222" s="68"/>
      <c r="K222" s="68"/>
      <c r="L222" s="68"/>
    </row>
    <row r="223" spans="1:14" ht="15.75" x14ac:dyDescent="0.2">
      <c r="D223" s="7"/>
      <c r="J223" s="68"/>
      <c r="K223" s="68"/>
      <c r="L223" s="68"/>
    </row>
    <row r="224" spans="1:14" x14ac:dyDescent="0.2">
      <c r="J224" s="68"/>
      <c r="K224" s="68"/>
      <c r="L224" s="68"/>
    </row>
    <row r="225" spans="1:12" s="5" customFormat="1" x14ac:dyDescent="0.2">
      <c r="A225"/>
      <c r="B225"/>
      <c r="C225"/>
      <c r="D225" s="8"/>
      <c r="J225" s="68"/>
      <c r="K225" s="68"/>
      <c r="L225" s="68"/>
    </row>
    <row r="226" spans="1:12" s="5" customFormat="1" x14ac:dyDescent="0.2">
      <c r="A226"/>
      <c r="B226"/>
      <c r="C226"/>
      <c r="D226" s="4"/>
      <c r="J226" s="68"/>
      <c r="K226" s="68"/>
      <c r="L226" s="68"/>
    </row>
    <row r="227" spans="1:12" s="5" customFormat="1" x14ac:dyDescent="0.2">
      <c r="A227"/>
      <c r="B227"/>
      <c r="C227"/>
      <c r="D227" s="4"/>
      <c r="J227" s="68"/>
      <c r="K227" s="68"/>
      <c r="L227" s="68"/>
    </row>
    <row r="228" spans="1:12" s="5" customFormat="1" x14ac:dyDescent="0.2">
      <c r="A228"/>
      <c r="B228"/>
      <c r="C228"/>
      <c r="D228" s="4"/>
      <c r="J228" s="68"/>
      <c r="K228" s="68"/>
      <c r="L228" s="68"/>
    </row>
    <row r="229" spans="1:12" s="5" customFormat="1" x14ac:dyDescent="0.2">
      <c r="A229"/>
      <c r="B229"/>
      <c r="C229"/>
      <c r="D229" s="4"/>
      <c r="J229" s="68"/>
      <c r="K229" s="68"/>
      <c r="L229" s="68"/>
    </row>
    <row r="230" spans="1:12" s="5" customFormat="1" x14ac:dyDescent="0.2">
      <c r="A230"/>
      <c r="B230"/>
      <c r="C230"/>
      <c r="D230" s="4"/>
      <c r="J230" s="68"/>
      <c r="K230" s="68"/>
      <c r="L230" s="68"/>
    </row>
    <row r="231" spans="1:12" s="5" customFormat="1" x14ac:dyDescent="0.2">
      <c r="A231"/>
      <c r="B231"/>
      <c r="C231" s="1"/>
      <c r="D231" s="14"/>
      <c r="E231" s="9"/>
      <c r="J231" s="68"/>
      <c r="K231" s="68"/>
      <c r="L231" s="68"/>
    </row>
  </sheetData>
  <sheetProtection formatCells="0" formatColumns="0" formatRows="0" insertColumns="0" insertRows="0" deleteColumns="0" deleteRows="0" selectLockedCells="1" selectUnlockedCells="1"/>
  <autoFilter ref="B6:C212"/>
  <mergeCells count="32">
    <mergeCell ref="C110:D110"/>
    <mergeCell ref="B64:C64"/>
    <mergeCell ref="C28:D28"/>
    <mergeCell ref="B44:D44"/>
    <mergeCell ref="B100:D100"/>
    <mergeCell ref="B48:D48"/>
    <mergeCell ref="B4:C4"/>
    <mergeCell ref="B1:I1"/>
    <mergeCell ref="B2:I2"/>
    <mergeCell ref="D29:I29"/>
    <mergeCell ref="B5:C5"/>
    <mergeCell ref="C184:D184"/>
    <mergeCell ref="C187:D187"/>
    <mergeCell ref="C190:D190"/>
    <mergeCell ref="B115:C115"/>
    <mergeCell ref="B167:C167"/>
    <mergeCell ref="C194:D194"/>
    <mergeCell ref="C197:D197"/>
    <mergeCell ref="C201:D201"/>
    <mergeCell ref="B207:D207"/>
    <mergeCell ref="B172:B177"/>
    <mergeCell ref="B178:B180"/>
    <mergeCell ref="B181:B183"/>
    <mergeCell ref="B184:B186"/>
    <mergeCell ref="B187:B189"/>
    <mergeCell ref="B190:B193"/>
    <mergeCell ref="B194:B196"/>
    <mergeCell ref="B197:B200"/>
    <mergeCell ref="B201:B202"/>
    <mergeCell ref="C172:D172"/>
    <mergeCell ref="C178:D178"/>
    <mergeCell ref="C181:D181"/>
  </mergeCells>
  <pageMargins left="0.23622047244094491" right="0.23622047244094491" top="0.74803149606299213" bottom="0.74803149606299213" header="0.31496062992125984" footer="0.31496062992125984"/>
  <pageSetup scale="75" orientation="landscape" r:id="rId1"/>
  <headerFooter alignWithMargins="0">
    <oddFooter>&amp;C&amp;P</oddFooter>
  </headerFooter>
  <rowBreaks count="5" manualBreakCount="5">
    <brk id="46" max="9" man="1"/>
    <brk id="81" max="9" man="1"/>
    <brk id="113" max="9" man="1"/>
    <brk id="143" max="9" man="1"/>
    <brk id="189" max="9" man="1"/>
  </rowBreaks>
  <ignoredErrors>
    <ignoredError sqref="B51:B52 B56:B57 B61:B63 B67:B80 B84 C91 B95:B96 B102 B107:B108 C124 B137:B150 B162:B164 B153:B156 B194 B172 B181 B27 B30 B190 B39:B43 B88:B91 C103:C104 B128:B133 B160 B161:C161 B210 B166 B203:B206 B117:B124 B7:B9 B10:B2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E28"/>
  <sheetViews>
    <sheetView workbookViewId="0">
      <selection activeCell="F35" sqref="F35"/>
    </sheetView>
  </sheetViews>
  <sheetFormatPr defaultRowHeight="12.75" x14ac:dyDescent="0.2"/>
  <cols>
    <col min="2" max="2" width="11" customWidth="1"/>
    <col min="3" max="3" width="20.7109375" customWidth="1"/>
    <col min="4" max="4" width="18.42578125" customWidth="1"/>
    <col min="5" max="5" width="18.85546875" customWidth="1"/>
  </cols>
  <sheetData>
    <row r="2" spans="2:5" x14ac:dyDescent="0.2">
      <c r="B2" s="20"/>
      <c r="C2" s="21"/>
      <c r="E2" s="1"/>
    </row>
    <row r="3" spans="2:5" x14ac:dyDescent="0.2">
      <c r="B3" s="20"/>
      <c r="C3" s="21"/>
    </row>
    <row r="4" spans="2:5" x14ac:dyDescent="0.2">
      <c r="B4" s="20"/>
      <c r="C4" s="21"/>
    </row>
    <row r="5" spans="2:5" x14ac:dyDescent="0.2">
      <c r="B5" s="20"/>
      <c r="C5" s="21"/>
    </row>
    <row r="6" spans="2:5" ht="18" x14ac:dyDescent="0.25">
      <c r="B6" s="22"/>
      <c r="C6" s="21"/>
    </row>
    <row r="7" spans="2:5" ht="18" x14ac:dyDescent="0.25">
      <c r="B7" s="22"/>
      <c r="C7" s="21"/>
    </row>
    <row r="8" spans="2:5" ht="15" x14ac:dyDescent="0.25">
      <c r="B8" s="54"/>
      <c r="C8" s="21"/>
    </row>
    <row r="9" spans="2:5" x14ac:dyDescent="0.2">
      <c r="B9" s="20"/>
      <c r="C9" s="21"/>
    </row>
    <row r="10" spans="2:5" ht="16.5" x14ac:dyDescent="0.25">
      <c r="B10" s="49"/>
    </row>
    <row r="12" spans="2:5" ht="13.5" thickBot="1" x14ac:dyDescent="0.25">
      <c r="D12" s="18"/>
      <c r="E12" s="18"/>
    </row>
    <row r="13" spans="2:5" ht="16.5" thickBot="1" x14ac:dyDescent="0.25">
      <c r="B13" s="24"/>
      <c r="C13" s="36"/>
      <c r="D13" s="50"/>
      <c r="E13" s="50"/>
    </row>
    <row r="14" spans="2:5" x14ac:dyDescent="0.2">
      <c r="B14" s="25"/>
      <c r="C14" s="44"/>
      <c r="D14" s="51"/>
      <c r="E14" s="51"/>
    </row>
    <row r="15" spans="2:5" x14ac:dyDescent="0.2">
      <c r="B15" s="26"/>
      <c r="C15" s="45"/>
      <c r="D15" s="17"/>
      <c r="E15" s="38"/>
    </row>
    <row r="16" spans="2:5" ht="13.5" thickBot="1" x14ac:dyDescent="0.25">
      <c r="B16" s="27"/>
      <c r="C16" s="46"/>
      <c r="D16" s="33"/>
      <c r="E16" s="39"/>
    </row>
    <row r="17" spans="2:5" ht="13.5" thickBot="1" x14ac:dyDescent="0.25">
      <c r="B17" s="28"/>
      <c r="C17" s="35"/>
      <c r="D17" s="34"/>
      <c r="E17" s="40"/>
    </row>
    <row r="20" spans="2:5" ht="13.5" thickBot="1" x14ac:dyDescent="0.25">
      <c r="D20" s="18"/>
      <c r="E20" s="18"/>
    </row>
    <row r="21" spans="2:5" ht="16.5" thickBot="1" x14ac:dyDescent="0.25">
      <c r="B21" s="24"/>
      <c r="C21" s="37"/>
      <c r="D21" s="50"/>
      <c r="E21" s="50"/>
    </row>
    <row r="22" spans="2:5" x14ac:dyDescent="0.2">
      <c r="B22" s="29"/>
      <c r="C22" s="58"/>
      <c r="D22" s="41"/>
      <c r="E22" s="41"/>
    </row>
    <row r="23" spans="2:5" x14ac:dyDescent="0.2">
      <c r="B23" s="26"/>
      <c r="C23" s="97"/>
      <c r="D23" s="42"/>
      <c r="E23" s="42"/>
    </row>
    <row r="24" spans="2:5" x14ac:dyDescent="0.2">
      <c r="B24" s="48"/>
      <c r="C24" s="97"/>
      <c r="D24" s="42"/>
      <c r="E24" s="42"/>
    </row>
    <row r="25" spans="2:5" ht="13.5" thickBot="1" x14ac:dyDescent="0.25">
      <c r="B25" s="57"/>
      <c r="C25" s="96"/>
      <c r="D25" s="98"/>
      <c r="E25" s="98"/>
    </row>
    <row r="26" spans="2:5" ht="13.5" thickBot="1" x14ac:dyDescent="0.25">
      <c r="B26" s="28"/>
      <c r="C26" s="52"/>
      <c r="D26" s="34"/>
      <c r="E26" s="47"/>
    </row>
    <row r="27" spans="2:5" x14ac:dyDescent="0.2">
      <c r="B27" s="30"/>
      <c r="C27" s="53"/>
      <c r="E27" s="31"/>
    </row>
    <row r="28" spans="2:5" x14ac:dyDescent="0.2">
      <c r="C28" s="16"/>
      <c r="D28" s="9"/>
      <c r="E28" s="4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rgb="FF92D050"/>
  </sheetPr>
  <dimension ref="B1:H32"/>
  <sheetViews>
    <sheetView zoomScale="120" zoomScaleNormal="120" workbookViewId="0">
      <selection activeCell="I15" sqref="I15"/>
    </sheetView>
  </sheetViews>
  <sheetFormatPr defaultRowHeight="12.75" x14ac:dyDescent="0.2"/>
  <cols>
    <col min="1" max="1" width="5.5703125" customWidth="1"/>
    <col min="2" max="2" width="7.5703125" customWidth="1"/>
    <col min="3" max="3" width="45.7109375" bestFit="1" customWidth="1"/>
    <col min="4" max="4" width="24.85546875" customWidth="1"/>
    <col min="5" max="5" width="19.7109375" customWidth="1"/>
    <col min="6" max="6" width="17.28515625" customWidth="1"/>
  </cols>
  <sheetData>
    <row r="1" spans="2:8" ht="18" x14ac:dyDescent="0.25">
      <c r="B1" s="92" t="s">
        <v>2</v>
      </c>
      <c r="C1" s="105"/>
      <c r="D1" s="106"/>
      <c r="F1" s="106"/>
      <c r="G1" s="104"/>
      <c r="H1" s="104"/>
    </row>
    <row r="2" spans="2:8" ht="18" x14ac:dyDescent="0.25">
      <c r="B2" s="92" t="s">
        <v>67</v>
      </c>
      <c r="C2" s="105"/>
      <c r="D2" s="106"/>
      <c r="E2" s="106"/>
      <c r="F2" s="106"/>
      <c r="G2" s="104"/>
      <c r="H2" s="104"/>
    </row>
    <row r="3" spans="2:8" ht="18" x14ac:dyDescent="0.25">
      <c r="B3" s="92" t="s">
        <v>68</v>
      </c>
      <c r="C3" s="105"/>
      <c r="D3" s="106"/>
      <c r="E3" s="106"/>
      <c r="F3" s="106"/>
      <c r="G3" s="104"/>
      <c r="H3" s="104"/>
    </row>
    <row r="4" spans="2:8" ht="18" x14ac:dyDescent="0.25">
      <c r="B4" s="92"/>
      <c r="C4" s="105"/>
      <c r="D4" s="106"/>
      <c r="E4" s="106"/>
      <c r="F4" s="106"/>
      <c r="G4" s="104"/>
      <c r="H4" s="104"/>
    </row>
    <row r="5" spans="2:8" ht="18" x14ac:dyDescent="0.25">
      <c r="B5" s="92" t="s">
        <v>176</v>
      </c>
      <c r="C5" s="105"/>
      <c r="D5" s="106"/>
      <c r="E5" s="116" t="s">
        <v>118</v>
      </c>
      <c r="F5" s="106"/>
      <c r="G5" s="104"/>
      <c r="H5" s="104"/>
    </row>
    <row r="6" spans="2:8" ht="18" x14ac:dyDescent="0.25">
      <c r="B6" s="92" t="s">
        <v>183</v>
      </c>
      <c r="C6" s="105"/>
      <c r="D6" s="106"/>
      <c r="E6" s="106"/>
      <c r="F6" s="106"/>
      <c r="G6" s="104"/>
      <c r="H6" s="104"/>
    </row>
    <row r="7" spans="2:8" ht="18" x14ac:dyDescent="0.25">
      <c r="B7" s="92"/>
      <c r="C7" s="105"/>
      <c r="D7" s="106"/>
      <c r="E7" s="106"/>
      <c r="F7" s="106"/>
      <c r="G7" s="104"/>
      <c r="H7" s="104"/>
    </row>
    <row r="8" spans="2:8" ht="18" x14ac:dyDescent="0.25">
      <c r="B8" s="92" t="s">
        <v>137</v>
      </c>
      <c r="C8" s="106"/>
      <c r="D8" s="106"/>
      <c r="E8" s="106"/>
      <c r="F8" s="106"/>
      <c r="G8" s="104"/>
      <c r="H8" s="104"/>
    </row>
    <row r="9" spans="2:8" ht="18.75" thickBot="1" x14ac:dyDescent="0.3">
      <c r="B9" s="106"/>
      <c r="C9" s="106"/>
      <c r="D9" s="106"/>
      <c r="E9" s="76"/>
      <c r="F9" s="106"/>
      <c r="G9" s="104"/>
      <c r="H9" s="104"/>
    </row>
    <row r="10" spans="2:8" ht="32.25" thickBot="1" x14ac:dyDescent="0.3">
      <c r="B10" s="59" t="s">
        <v>184</v>
      </c>
      <c r="C10" s="228" t="s">
        <v>70</v>
      </c>
      <c r="D10" s="108" t="s">
        <v>137</v>
      </c>
      <c r="E10" s="108" t="s">
        <v>165</v>
      </c>
      <c r="F10" s="214" t="s">
        <v>352</v>
      </c>
      <c r="G10" s="104"/>
      <c r="H10" s="104"/>
    </row>
    <row r="11" spans="2:8" ht="18" x14ac:dyDescent="0.25">
      <c r="B11" s="191">
        <v>9018</v>
      </c>
      <c r="C11" s="109" t="s">
        <v>141</v>
      </c>
      <c r="D11" s="195">
        <v>8786.7999999999993</v>
      </c>
      <c r="E11" s="195">
        <v>3717.8</v>
      </c>
      <c r="F11" s="225">
        <f>E11/D11*100</f>
        <v>42.311194063823017</v>
      </c>
      <c r="G11" s="104"/>
      <c r="H11" s="104"/>
    </row>
    <row r="12" spans="2:8" ht="18" x14ac:dyDescent="0.25">
      <c r="B12" s="102"/>
      <c r="C12" s="223" t="s">
        <v>174</v>
      </c>
      <c r="D12" s="153"/>
      <c r="E12" s="197"/>
      <c r="F12" s="226"/>
      <c r="G12" s="104"/>
      <c r="H12" s="104"/>
    </row>
    <row r="13" spans="2:8" ht="18.75" thickBot="1" x14ac:dyDescent="0.3">
      <c r="B13" s="218"/>
      <c r="C13" s="219"/>
      <c r="D13" s="154"/>
      <c r="E13" s="201"/>
      <c r="F13" s="227"/>
      <c r="G13" s="104"/>
      <c r="H13" s="104"/>
    </row>
    <row r="14" spans="2:8" ht="18.75" thickBot="1" x14ac:dyDescent="0.3">
      <c r="B14" s="212"/>
      <c r="C14" s="111" t="s">
        <v>71</v>
      </c>
      <c r="D14" s="149">
        <f>SUM(D11:D13)</f>
        <v>8786.7999999999993</v>
      </c>
      <c r="E14" s="231">
        <f>SUM(E11:E13)</f>
        <v>3717.8</v>
      </c>
      <c r="F14" s="232">
        <f>+E14/D14*100</f>
        <v>42.311194063823017</v>
      </c>
      <c r="G14" s="104"/>
      <c r="H14" s="104"/>
    </row>
    <row r="15" spans="2:8" ht="18" x14ac:dyDescent="0.25">
      <c r="B15" s="206"/>
      <c r="C15" s="229"/>
      <c r="D15" s="221"/>
      <c r="E15" s="222"/>
      <c r="F15" s="230"/>
      <c r="G15" s="104"/>
      <c r="H15" s="104"/>
    </row>
    <row r="16" spans="2:8" ht="18" x14ac:dyDescent="0.25">
      <c r="B16" s="206"/>
      <c r="C16" s="229"/>
      <c r="D16" s="221"/>
      <c r="E16" s="222"/>
      <c r="F16" s="230"/>
      <c r="G16" s="104"/>
      <c r="H16" s="104"/>
    </row>
    <row r="17" spans="2:8" ht="18.75" thickBot="1" x14ac:dyDescent="0.3">
      <c r="B17" s="106"/>
      <c r="C17" s="106"/>
      <c r="D17" s="106"/>
      <c r="E17" s="106"/>
      <c r="F17" s="106"/>
      <c r="G17" s="104"/>
      <c r="H17" s="104"/>
    </row>
    <row r="18" spans="2:8" ht="32.25" thickBot="1" x14ac:dyDescent="0.3">
      <c r="B18" s="59" t="s">
        <v>184</v>
      </c>
      <c r="C18" s="37" t="s">
        <v>72</v>
      </c>
      <c r="D18" s="108" t="s">
        <v>137</v>
      </c>
      <c r="E18" s="108" t="s">
        <v>165</v>
      </c>
      <c r="F18" s="214" t="s">
        <v>352</v>
      </c>
      <c r="G18" s="104"/>
      <c r="H18" s="104"/>
    </row>
    <row r="19" spans="2:8" ht="18" x14ac:dyDescent="0.25">
      <c r="B19" s="191">
        <v>4110</v>
      </c>
      <c r="C19" s="233" t="s">
        <v>177</v>
      </c>
      <c r="D19" s="215">
        <v>3700</v>
      </c>
      <c r="E19" s="215">
        <v>5366.94</v>
      </c>
      <c r="F19" s="216">
        <f>E19/D19*100</f>
        <v>145.05243243243243</v>
      </c>
      <c r="G19" s="104"/>
      <c r="H19" s="104"/>
    </row>
    <row r="20" spans="2:8" ht="18" x14ac:dyDescent="0.25">
      <c r="B20" s="102">
        <v>4111</v>
      </c>
      <c r="C20" s="103" t="s">
        <v>178</v>
      </c>
      <c r="D20" s="150">
        <v>0</v>
      </c>
      <c r="E20" s="150"/>
      <c r="F20" s="217"/>
      <c r="G20" s="104"/>
      <c r="H20" s="104"/>
    </row>
    <row r="21" spans="2:8" ht="18" x14ac:dyDescent="0.25">
      <c r="B21" s="102">
        <v>4112</v>
      </c>
      <c r="C21" s="103" t="s">
        <v>179</v>
      </c>
      <c r="D21" s="150">
        <v>0</v>
      </c>
      <c r="E21" s="150"/>
      <c r="F21" s="217"/>
      <c r="G21" s="104"/>
      <c r="H21" s="104"/>
    </row>
    <row r="22" spans="2:8" ht="18" x14ac:dyDescent="0.25">
      <c r="B22" s="102">
        <v>4113</v>
      </c>
      <c r="C22" s="103" t="s">
        <v>180</v>
      </c>
      <c r="D22" s="150">
        <v>3031.8</v>
      </c>
      <c r="E22" s="150"/>
      <c r="F22" s="217">
        <f t="shared" ref="F22:F23" si="0">E22/D22*100</f>
        <v>0</v>
      </c>
      <c r="G22" s="104"/>
      <c r="H22" s="104"/>
    </row>
    <row r="23" spans="2:8" ht="18" x14ac:dyDescent="0.25">
      <c r="B23" s="102">
        <v>4114</v>
      </c>
      <c r="C23" s="103" t="s">
        <v>181</v>
      </c>
      <c r="D23" s="150">
        <v>2055</v>
      </c>
      <c r="E23" s="150"/>
      <c r="F23" s="217">
        <f t="shared" si="0"/>
        <v>0</v>
      </c>
      <c r="G23" s="104"/>
      <c r="H23" s="104"/>
    </row>
    <row r="24" spans="2:8" ht="18" x14ac:dyDescent="0.25">
      <c r="B24" s="102">
        <v>4115</v>
      </c>
      <c r="C24" s="103" t="s">
        <v>105</v>
      </c>
      <c r="D24" s="150">
        <v>0</v>
      </c>
      <c r="E24" s="209"/>
      <c r="F24" s="217"/>
      <c r="G24" s="104"/>
      <c r="H24" s="104"/>
    </row>
    <row r="25" spans="2:8" ht="18" x14ac:dyDescent="0.25">
      <c r="B25" s="234">
        <v>4116</v>
      </c>
      <c r="C25" s="103" t="s">
        <v>119</v>
      </c>
      <c r="D25" s="150">
        <v>0</v>
      </c>
      <c r="E25" s="118"/>
      <c r="F25" s="217"/>
      <c r="G25" s="104"/>
      <c r="H25" s="104"/>
    </row>
    <row r="26" spans="2:8" ht="18.75" thickBot="1" x14ac:dyDescent="0.3">
      <c r="B26" s="235">
        <v>4117</v>
      </c>
      <c r="C26" s="236" t="s">
        <v>120</v>
      </c>
      <c r="D26" s="201">
        <v>0</v>
      </c>
      <c r="E26" s="237"/>
      <c r="F26" s="220"/>
      <c r="G26" s="104"/>
      <c r="H26" s="104"/>
    </row>
    <row r="27" spans="2:8" ht="18.75" thickBot="1" x14ac:dyDescent="0.3">
      <c r="B27" s="199"/>
      <c r="C27" s="114" t="s">
        <v>73</v>
      </c>
      <c r="D27" s="151">
        <f>SUM(D19:D26)</f>
        <v>8786.7999999999993</v>
      </c>
      <c r="E27" s="151">
        <f>SUM(E19:E26)</f>
        <v>5366.94</v>
      </c>
      <c r="F27" s="238">
        <f>E27/D27*100</f>
        <v>61.079573906314025</v>
      </c>
      <c r="G27" s="104"/>
      <c r="H27" s="104"/>
    </row>
    <row r="28" spans="2:8" ht="18" x14ac:dyDescent="0.25">
      <c r="B28" s="106"/>
      <c r="C28" s="106"/>
      <c r="D28" s="106"/>
      <c r="E28" s="106"/>
      <c r="F28" s="106"/>
      <c r="G28" s="104"/>
      <c r="H28" s="104"/>
    </row>
    <row r="29" spans="2:8" ht="18" x14ac:dyDescent="0.25">
      <c r="B29" s="106"/>
      <c r="C29" s="106"/>
      <c r="D29" s="106"/>
      <c r="E29" s="106"/>
      <c r="F29" s="106"/>
      <c r="G29" s="104"/>
      <c r="H29" s="104"/>
    </row>
    <row r="30" spans="2:8" ht="18" x14ac:dyDescent="0.25">
      <c r="B30" s="106"/>
      <c r="C30" s="106"/>
      <c r="D30" s="106"/>
      <c r="E30" s="106"/>
      <c r="F30" s="106"/>
      <c r="G30" s="104"/>
      <c r="H30" s="104"/>
    </row>
    <row r="31" spans="2:8" ht="18" x14ac:dyDescent="0.25">
      <c r="B31" s="106"/>
      <c r="C31" s="106"/>
      <c r="D31" s="106"/>
      <c r="E31" s="106"/>
      <c r="F31" s="106"/>
      <c r="G31" s="104"/>
      <c r="H31" s="104"/>
    </row>
    <row r="32" spans="2:8" ht="15" x14ac:dyDescent="0.2">
      <c r="B32" s="106"/>
      <c r="C32" s="106"/>
      <c r="D32" s="106"/>
      <c r="E32" s="106"/>
      <c r="F32" s="106"/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rgb="FF92D050"/>
  </sheetPr>
  <dimension ref="A1:I48"/>
  <sheetViews>
    <sheetView zoomScale="120" zoomScaleNormal="120" workbookViewId="0">
      <selection activeCell="H22" sqref="H22"/>
    </sheetView>
  </sheetViews>
  <sheetFormatPr defaultRowHeight="12.75" x14ac:dyDescent="0.2"/>
  <cols>
    <col min="1" max="1" width="5.5703125" customWidth="1"/>
    <col min="2" max="2" width="7.42578125" customWidth="1"/>
    <col min="3" max="3" width="50.28515625" bestFit="1" customWidth="1"/>
    <col min="4" max="4" width="21.85546875" bestFit="1" customWidth="1"/>
    <col min="5" max="5" width="22" customWidth="1"/>
    <col min="6" max="6" width="18.42578125" customWidth="1"/>
    <col min="7" max="7" width="13.28515625" bestFit="1" customWidth="1"/>
  </cols>
  <sheetData>
    <row r="1" spans="1:9" x14ac:dyDescent="0.2">
      <c r="A1" s="20"/>
      <c r="B1" s="21"/>
      <c r="D1" s="1"/>
    </row>
    <row r="2" spans="1:9" ht="15.75" x14ac:dyDescent="0.25">
      <c r="A2" s="20"/>
      <c r="B2" s="92" t="s">
        <v>2</v>
      </c>
      <c r="C2" s="105"/>
      <c r="D2" s="106"/>
      <c r="F2" s="106"/>
      <c r="G2" s="106"/>
      <c r="H2" s="106"/>
      <c r="I2" s="106"/>
    </row>
    <row r="3" spans="1:9" ht="15.75" x14ac:dyDescent="0.25">
      <c r="A3" s="20"/>
      <c r="B3" s="92" t="s">
        <v>67</v>
      </c>
      <c r="C3" s="105"/>
      <c r="D3" s="106"/>
      <c r="E3" s="106"/>
      <c r="F3" s="106"/>
      <c r="G3" s="106"/>
      <c r="H3" s="106"/>
      <c r="I3" s="106"/>
    </row>
    <row r="4" spans="1:9" ht="15.75" x14ac:dyDescent="0.25">
      <c r="A4" s="20"/>
      <c r="B4" s="92" t="s">
        <v>68</v>
      </c>
      <c r="C4" s="105"/>
      <c r="D4" s="106"/>
      <c r="E4" s="106"/>
      <c r="F4" s="106"/>
      <c r="G4" s="106"/>
      <c r="H4" s="106"/>
      <c r="I4" s="106"/>
    </row>
    <row r="5" spans="1:9" ht="18" x14ac:dyDescent="0.25">
      <c r="A5" s="22"/>
      <c r="B5" s="92"/>
      <c r="C5" s="105"/>
      <c r="D5" s="106"/>
      <c r="E5" s="106"/>
      <c r="F5" s="106"/>
      <c r="G5" s="106"/>
      <c r="H5" s="106"/>
      <c r="I5" s="106"/>
    </row>
    <row r="6" spans="1:9" ht="18" x14ac:dyDescent="0.25">
      <c r="A6" s="22"/>
      <c r="B6" s="92" t="s">
        <v>172</v>
      </c>
      <c r="C6" s="105"/>
      <c r="D6" s="106"/>
      <c r="E6" s="76" t="s">
        <v>121</v>
      </c>
      <c r="F6" s="106"/>
      <c r="G6" s="106"/>
      <c r="H6" s="106"/>
      <c r="I6" s="106"/>
    </row>
    <row r="7" spans="1:9" ht="15.75" x14ac:dyDescent="0.25">
      <c r="A7" s="54"/>
      <c r="B7" s="92" t="s">
        <v>173</v>
      </c>
      <c r="C7" s="105"/>
      <c r="D7" s="106"/>
      <c r="E7" s="106"/>
      <c r="F7" s="106"/>
      <c r="G7" s="106"/>
      <c r="H7" s="106"/>
      <c r="I7" s="106"/>
    </row>
    <row r="8" spans="1:9" ht="15.75" x14ac:dyDescent="0.25">
      <c r="A8" s="20"/>
      <c r="C8" s="105"/>
      <c r="D8" s="106"/>
      <c r="E8" s="106"/>
      <c r="F8" s="106"/>
      <c r="G8" s="106"/>
      <c r="H8" s="106"/>
      <c r="I8" s="106"/>
    </row>
    <row r="9" spans="1:9" ht="16.5" x14ac:dyDescent="0.25">
      <c r="A9" s="49"/>
      <c r="B9" s="92"/>
      <c r="C9" s="105"/>
      <c r="D9" s="106"/>
      <c r="E9" s="106"/>
      <c r="F9" s="106"/>
      <c r="G9" s="106"/>
      <c r="H9" s="106"/>
      <c r="I9" s="106"/>
    </row>
    <row r="10" spans="1:9" ht="15.75" x14ac:dyDescent="0.25">
      <c r="B10" s="92" t="s">
        <v>137</v>
      </c>
      <c r="C10" s="106"/>
      <c r="D10" s="106"/>
      <c r="E10" s="106"/>
      <c r="F10" s="106"/>
      <c r="G10" s="106"/>
      <c r="H10" s="106"/>
      <c r="I10" s="106"/>
    </row>
    <row r="11" spans="1:9" ht="15" x14ac:dyDescent="0.2">
      <c r="B11" s="106"/>
      <c r="C11" s="106"/>
      <c r="D11" s="106"/>
      <c r="E11" s="106"/>
      <c r="F11" s="106"/>
      <c r="G11" s="106"/>
      <c r="H11" s="106"/>
      <c r="I11" s="106"/>
    </row>
    <row r="12" spans="1:9" ht="15.75" thickBot="1" x14ac:dyDescent="0.25">
      <c r="A12" s="101"/>
      <c r="B12" s="106"/>
      <c r="C12" s="106"/>
      <c r="D12" s="107"/>
      <c r="E12" s="107"/>
      <c r="F12" s="106"/>
      <c r="G12" s="106"/>
      <c r="H12" s="106"/>
      <c r="I12" s="106"/>
    </row>
    <row r="13" spans="1:9" ht="32.450000000000003" customHeight="1" thickBot="1" x14ac:dyDescent="0.25">
      <c r="A13" s="70"/>
      <c r="B13" s="59" t="s">
        <v>184</v>
      </c>
      <c r="C13" s="192" t="s">
        <v>70</v>
      </c>
      <c r="D13" s="193" t="s">
        <v>137</v>
      </c>
      <c r="E13" s="193" t="s">
        <v>165</v>
      </c>
      <c r="F13" s="194" t="s">
        <v>352</v>
      </c>
      <c r="G13" s="106"/>
      <c r="H13" s="106"/>
      <c r="I13" s="106"/>
    </row>
    <row r="14" spans="1:9" ht="15" x14ac:dyDescent="0.2">
      <c r="A14" s="70"/>
      <c r="B14" s="191">
        <v>9019</v>
      </c>
      <c r="C14" s="109" t="s">
        <v>140</v>
      </c>
      <c r="D14" s="195">
        <v>6439</v>
      </c>
      <c r="E14" s="195">
        <v>4757.3900000000003</v>
      </c>
      <c r="F14" s="196">
        <f>E14/D14*100</f>
        <v>73.883988196925003</v>
      </c>
      <c r="G14" s="106" t="s">
        <v>275</v>
      </c>
      <c r="H14" s="106"/>
      <c r="I14" s="106"/>
    </row>
    <row r="15" spans="1:9" ht="15.75" x14ac:dyDescent="0.25">
      <c r="A15" s="70"/>
      <c r="B15" s="102"/>
      <c r="C15" s="223" t="s">
        <v>174</v>
      </c>
      <c r="D15" s="153"/>
      <c r="E15" s="197"/>
      <c r="F15" s="198"/>
      <c r="G15" s="130">
        <f>D17-2000</f>
        <v>4439</v>
      </c>
      <c r="H15" s="106" t="s">
        <v>276</v>
      </c>
      <c r="I15" s="106"/>
    </row>
    <row r="16" spans="1:9" ht="15.75" thickBot="1" x14ac:dyDescent="0.25">
      <c r="A16" s="70"/>
      <c r="B16" s="199"/>
      <c r="C16" s="224" t="s">
        <v>175</v>
      </c>
      <c r="D16" s="154"/>
      <c r="E16" s="201"/>
      <c r="F16" s="202"/>
      <c r="G16" s="106"/>
      <c r="H16" s="106"/>
      <c r="I16" s="106"/>
    </row>
    <row r="17" spans="1:9" ht="16.5" thickBot="1" x14ac:dyDescent="0.3">
      <c r="B17" s="199"/>
      <c r="C17" s="203" t="s">
        <v>71</v>
      </c>
      <c r="D17" s="152">
        <f>SUM(D14:D16)</f>
        <v>6439</v>
      </c>
      <c r="E17" s="204">
        <v>4757.3900000000003</v>
      </c>
      <c r="F17" s="205">
        <f>E17/D17*100</f>
        <v>73.883988196925003</v>
      </c>
      <c r="G17" s="106"/>
      <c r="H17" s="106"/>
      <c r="I17" s="106"/>
    </row>
    <row r="18" spans="1:9" ht="15.75" x14ac:dyDescent="0.25">
      <c r="B18" s="206"/>
      <c r="C18" s="207"/>
      <c r="D18" s="221"/>
      <c r="E18" s="222"/>
      <c r="F18" s="208"/>
      <c r="G18" s="106"/>
      <c r="H18" s="106"/>
      <c r="I18" s="106"/>
    </row>
    <row r="19" spans="1:9" ht="15.75" x14ac:dyDescent="0.25">
      <c r="B19" s="206"/>
      <c r="C19" s="207"/>
      <c r="D19" s="221"/>
      <c r="E19" s="222"/>
      <c r="F19" s="208"/>
      <c r="G19" s="106"/>
      <c r="H19" s="106"/>
      <c r="I19" s="106"/>
    </row>
    <row r="20" spans="1:9" ht="15.75" thickBot="1" x14ac:dyDescent="0.25">
      <c r="B20" s="106"/>
      <c r="C20" s="106"/>
      <c r="D20" s="106"/>
      <c r="E20" s="106"/>
      <c r="F20" s="106"/>
      <c r="G20" s="106"/>
      <c r="H20" s="106"/>
      <c r="I20" s="106"/>
    </row>
    <row r="21" spans="1:9" ht="32.25" thickBot="1" x14ac:dyDescent="0.25">
      <c r="B21" s="59" t="s">
        <v>184</v>
      </c>
      <c r="C21" s="36" t="s">
        <v>72</v>
      </c>
      <c r="D21" s="108" t="s">
        <v>137</v>
      </c>
      <c r="E21" s="108" t="s">
        <v>165</v>
      </c>
      <c r="F21" s="194" t="s">
        <v>352</v>
      </c>
      <c r="G21" s="106"/>
      <c r="H21" s="106"/>
      <c r="I21" s="106"/>
    </row>
    <row r="22" spans="1:9" ht="15" x14ac:dyDescent="0.2">
      <c r="A22" s="101"/>
      <c r="B22" s="102">
        <v>4193</v>
      </c>
      <c r="C22" s="110" t="s">
        <v>122</v>
      </c>
      <c r="D22" s="150">
        <v>2000</v>
      </c>
      <c r="E22" s="150">
        <v>3833.9</v>
      </c>
      <c r="F22" s="217">
        <f>E22/D22*100</f>
        <v>191.69500000000002</v>
      </c>
      <c r="G22" s="106"/>
      <c r="H22" s="106"/>
      <c r="I22" s="106"/>
    </row>
    <row r="23" spans="1:9" ht="15.75" thickBot="1" x14ac:dyDescent="0.25">
      <c r="A23" s="70"/>
      <c r="B23" s="102"/>
      <c r="C23" s="110"/>
      <c r="D23" s="150"/>
      <c r="E23" s="150"/>
      <c r="F23" s="217"/>
      <c r="G23" s="106"/>
      <c r="H23" s="106"/>
      <c r="I23" s="106"/>
    </row>
    <row r="24" spans="1:9" ht="16.5" thickBot="1" x14ac:dyDescent="0.3">
      <c r="B24" s="212"/>
      <c r="C24" s="119" t="s">
        <v>73</v>
      </c>
      <c r="D24" s="149">
        <f>SUM(D22:D23)</f>
        <v>2000</v>
      </c>
      <c r="E24" s="149">
        <f>SUM(E22:E23)</f>
        <v>3833.9</v>
      </c>
      <c r="F24" s="213">
        <f>E24/D24*100</f>
        <v>191.69500000000002</v>
      </c>
      <c r="G24" s="106"/>
      <c r="H24" s="106"/>
      <c r="I24" s="106"/>
    </row>
    <row r="25" spans="1:9" ht="15" x14ac:dyDescent="0.2">
      <c r="B25" s="106"/>
      <c r="C25" s="206"/>
      <c r="D25" s="106"/>
      <c r="E25" s="115"/>
      <c r="F25" s="106"/>
      <c r="G25" s="106"/>
      <c r="H25" s="106"/>
      <c r="I25" s="106"/>
    </row>
    <row r="26" spans="1:9" ht="15.75" x14ac:dyDescent="0.25">
      <c r="B26" s="106"/>
      <c r="C26" s="116"/>
      <c r="D26" s="95"/>
      <c r="E26" s="117"/>
      <c r="F26" s="106"/>
      <c r="G26" s="106"/>
      <c r="H26" s="106"/>
      <c r="I26" s="106"/>
    </row>
    <row r="27" spans="1:9" ht="15" x14ac:dyDescent="0.2">
      <c r="B27" s="206"/>
      <c r="C27" s="106"/>
      <c r="D27" s="106"/>
      <c r="E27" s="106"/>
      <c r="F27" s="106"/>
      <c r="G27" s="106"/>
      <c r="H27" s="106"/>
      <c r="I27" s="106"/>
    </row>
    <row r="28" spans="1:9" ht="15" x14ac:dyDescent="0.2">
      <c r="B28" s="106"/>
      <c r="C28" s="106"/>
      <c r="D28" s="106"/>
      <c r="E28" s="106"/>
      <c r="F28" s="106"/>
      <c r="G28" s="106"/>
      <c r="H28" s="106"/>
      <c r="I28" s="106"/>
    </row>
    <row r="29" spans="1:9" ht="15" x14ac:dyDescent="0.2">
      <c r="B29" s="106"/>
      <c r="C29" s="106"/>
      <c r="D29" s="106"/>
      <c r="E29" s="106"/>
      <c r="F29" s="106"/>
      <c r="G29" s="106"/>
      <c r="H29" s="106"/>
      <c r="I29" s="106"/>
    </row>
    <row r="30" spans="1:9" ht="15" x14ac:dyDescent="0.2">
      <c r="B30" s="106"/>
      <c r="C30" s="106"/>
      <c r="D30" s="106"/>
      <c r="E30" s="106"/>
      <c r="F30" s="106"/>
      <c r="G30" s="106"/>
      <c r="H30" s="106"/>
      <c r="I30" s="106"/>
    </row>
    <row r="31" spans="1:9" ht="15" x14ac:dyDescent="0.2">
      <c r="B31" s="106"/>
      <c r="C31" s="106"/>
      <c r="D31" s="106"/>
      <c r="E31" s="106"/>
      <c r="F31" s="106"/>
      <c r="G31" s="106"/>
      <c r="H31" s="106"/>
      <c r="I31" s="106"/>
    </row>
    <row r="32" spans="1:9" ht="15" x14ac:dyDescent="0.2">
      <c r="B32" s="106"/>
      <c r="C32" s="106"/>
      <c r="D32" s="106"/>
      <c r="E32" s="106"/>
      <c r="F32" s="106"/>
      <c r="G32" s="106"/>
      <c r="H32" s="106"/>
      <c r="I32" s="106"/>
    </row>
    <row r="33" spans="2:9" ht="15" x14ac:dyDescent="0.2">
      <c r="B33" s="106"/>
      <c r="C33" s="106"/>
      <c r="D33" s="106"/>
      <c r="E33" s="106"/>
      <c r="F33" s="106"/>
      <c r="G33" s="106"/>
      <c r="H33" s="106"/>
      <c r="I33" s="106"/>
    </row>
    <row r="34" spans="2:9" ht="15" x14ac:dyDescent="0.2">
      <c r="B34" s="106"/>
      <c r="C34" s="106"/>
      <c r="D34" s="106"/>
      <c r="E34" s="106"/>
      <c r="F34" s="106"/>
      <c r="G34" s="106"/>
      <c r="H34" s="106"/>
      <c r="I34" s="106"/>
    </row>
    <row r="35" spans="2:9" ht="15" x14ac:dyDescent="0.2">
      <c r="B35" s="106"/>
      <c r="C35" s="106"/>
      <c r="D35" s="106"/>
      <c r="E35" s="106"/>
      <c r="F35" s="106"/>
      <c r="G35" s="106"/>
      <c r="H35" s="106"/>
      <c r="I35" s="106"/>
    </row>
    <row r="36" spans="2:9" ht="15" x14ac:dyDescent="0.2">
      <c r="B36" s="106"/>
      <c r="C36" s="106"/>
      <c r="D36" s="106"/>
      <c r="E36" s="106"/>
      <c r="F36" s="106"/>
      <c r="G36" s="106"/>
      <c r="H36" s="106"/>
      <c r="I36" s="106"/>
    </row>
    <row r="37" spans="2:9" ht="15" x14ac:dyDescent="0.2">
      <c r="B37" s="106"/>
      <c r="C37" s="106"/>
      <c r="D37" s="106"/>
      <c r="E37" s="106"/>
      <c r="F37" s="106"/>
      <c r="G37" s="106"/>
      <c r="H37" s="106"/>
      <c r="I37" s="106"/>
    </row>
    <row r="38" spans="2:9" ht="15" x14ac:dyDescent="0.2">
      <c r="B38" s="106"/>
      <c r="C38" s="106"/>
      <c r="D38" s="106"/>
      <c r="E38" s="106"/>
      <c r="F38" s="106"/>
      <c r="G38" s="106"/>
      <c r="H38" s="106"/>
      <c r="I38" s="106"/>
    </row>
    <row r="39" spans="2:9" ht="15" x14ac:dyDescent="0.2">
      <c r="B39" s="106"/>
      <c r="C39" s="106"/>
      <c r="D39" s="106"/>
      <c r="E39" s="106"/>
      <c r="F39" s="106"/>
      <c r="G39" s="106"/>
      <c r="H39" s="106"/>
      <c r="I39" s="106"/>
    </row>
    <row r="40" spans="2:9" ht="15" x14ac:dyDescent="0.2">
      <c r="B40" s="106"/>
      <c r="C40" s="106"/>
      <c r="D40" s="106"/>
      <c r="E40" s="106"/>
      <c r="F40" s="106"/>
      <c r="G40" s="106"/>
      <c r="H40" s="106"/>
      <c r="I40" s="106"/>
    </row>
    <row r="41" spans="2:9" ht="15" x14ac:dyDescent="0.2">
      <c r="B41" s="106"/>
      <c r="C41" s="106"/>
      <c r="D41" s="106"/>
      <c r="E41" s="106"/>
      <c r="F41" s="106"/>
      <c r="G41" s="106"/>
      <c r="H41" s="106"/>
      <c r="I41" s="106"/>
    </row>
    <row r="42" spans="2:9" ht="15" x14ac:dyDescent="0.2">
      <c r="B42" s="106"/>
      <c r="C42" s="106"/>
      <c r="D42" s="106"/>
      <c r="E42" s="106"/>
      <c r="F42" s="106"/>
      <c r="G42" s="106"/>
      <c r="H42" s="106"/>
      <c r="I42" s="106"/>
    </row>
    <row r="43" spans="2:9" ht="15" x14ac:dyDescent="0.2">
      <c r="B43" s="106"/>
      <c r="C43" s="106"/>
      <c r="D43" s="106"/>
      <c r="E43" s="106"/>
      <c r="F43" s="106"/>
      <c r="G43" s="106"/>
      <c r="H43" s="106"/>
      <c r="I43" s="106"/>
    </row>
    <row r="44" spans="2:9" ht="15" x14ac:dyDescent="0.2">
      <c r="B44" s="106"/>
      <c r="C44" s="106"/>
      <c r="D44" s="106"/>
      <c r="E44" s="106"/>
      <c r="F44" s="106"/>
      <c r="G44" s="106"/>
      <c r="H44" s="106"/>
      <c r="I44" s="106"/>
    </row>
    <row r="45" spans="2:9" ht="18" x14ac:dyDescent="0.25">
      <c r="B45" s="104"/>
      <c r="C45" s="104"/>
      <c r="D45" s="104"/>
      <c r="E45" s="104"/>
      <c r="F45" s="104"/>
      <c r="G45" s="104"/>
      <c r="H45" s="104"/>
      <c r="I45" s="104"/>
    </row>
    <row r="46" spans="2:9" ht="18" x14ac:dyDescent="0.25">
      <c r="B46" s="104"/>
      <c r="C46" s="104"/>
      <c r="D46" s="104"/>
      <c r="E46" s="104"/>
      <c r="F46" s="104"/>
      <c r="G46" s="104"/>
      <c r="H46" s="104"/>
      <c r="I46" s="104"/>
    </row>
    <row r="47" spans="2:9" ht="18" x14ac:dyDescent="0.25">
      <c r="B47" s="104"/>
      <c r="C47" s="104"/>
      <c r="D47" s="104"/>
      <c r="E47" s="104"/>
      <c r="F47" s="104"/>
      <c r="G47" s="104"/>
      <c r="H47" s="104"/>
      <c r="I47" s="104"/>
    </row>
    <row r="48" spans="2:9" ht="18" x14ac:dyDescent="0.25">
      <c r="B48" s="104"/>
      <c r="C48" s="104"/>
      <c r="D48" s="104"/>
      <c r="E48" s="104"/>
      <c r="F48" s="104"/>
      <c r="G48" s="104"/>
      <c r="H48" s="104"/>
      <c r="I48" s="104"/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K29"/>
  <sheetViews>
    <sheetView topLeftCell="A6" zoomScale="120" zoomScaleNormal="120" workbookViewId="0">
      <selection activeCell="F34" sqref="F33:F34"/>
    </sheetView>
  </sheetViews>
  <sheetFormatPr defaultRowHeight="12.75" x14ac:dyDescent="0.2"/>
  <cols>
    <col min="1" max="1" width="5.5703125" customWidth="1"/>
    <col min="2" max="2" width="7.5703125" customWidth="1"/>
    <col min="3" max="3" width="48.28515625" bestFit="1" customWidth="1"/>
    <col min="4" max="4" width="18" customWidth="1"/>
    <col min="5" max="5" width="19.5703125" customWidth="1"/>
    <col min="6" max="6" width="16.42578125" customWidth="1"/>
    <col min="7" max="7" width="16.140625" bestFit="1" customWidth="1"/>
  </cols>
  <sheetData>
    <row r="2" spans="2:7" ht="15.75" x14ac:dyDescent="0.25">
      <c r="B2" s="92" t="s">
        <v>2</v>
      </c>
      <c r="C2" s="105"/>
      <c r="D2" s="106"/>
      <c r="F2" s="106"/>
      <c r="G2" s="106"/>
    </row>
    <row r="3" spans="2:7" ht="15.75" x14ac:dyDescent="0.25">
      <c r="B3" s="92" t="s">
        <v>67</v>
      </c>
      <c r="C3" s="105"/>
      <c r="D3" s="106"/>
      <c r="E3" s="106"/>
      <c r="F3" s="106"/>
      <c r="G3" s="106"/>
    </row>
    <row r="4" spans="2:7" ht="15.75" x14ac:dyDescent="0.25">
      <c r="B4" s="92" t="s">
        <v>68</v>
      </c>
      <c r="C4" s="105"/>
      <c r="D4" s="106"/>
      <c r="E4" s="106"/>
      <c r="F4" s="106"/>
      <c r="G4" s="106"/>
    </row>
    <row r="5" spans="2:7" ht="15.75" x14ac:dyDescent="0.25">
      <c r="B5" s="92"/>
      <c r="C5" s="105"/>
      <c r="D5" s="106"/>
      <c r="E5" s="106"/>
      <c r="F5" s="106"/>
      <c r="G5" s="106"/>
    </row>
    <row r="6" spans="2:7" ht="15.75" x14ac:dyDescent="0.25">
      <c r="B6" s="92" t="s">
        <v>194</v>
      </c>
      <c r="C6" s="105"/>
      <c r="D6" s="106"/>
      <c r="E6" s="76" t="s">
        <v>186</v>
      </c>
      <c r="F6" s="106"/>
      <c r="G6" s="106"/>
    </row>
    <row r="7" spans="2:7" ht="15.75" x14ac:dyDescent="0.25">
      <c r="B7" s="92" t="s">
        <v>187</v>
      </c>
      <c r="C7" s="105"/>
      <c r="D7" s="106"/>
      <c r="E7" s="106"/>
      <c r="F7" s="106"/>
      <c r="G7" s="106"/>
    </row>
    <row r="8" spans="2:7" ht="15.75" x14ac:dyDescent="0.25">
      <c r="C8" s="105"/>
      <c r="D8" s="106"/>
      <c r="E8" s="106"/>
      <c r="F8" s="106"/>
      <c r="G8" s="106"/>
    </row>
    <row r="9" spans="2:7" ht="15.75" x14ac:dyDescent="0.25">
      <c r="B9" s="92"/>
      <c r="C9" s="105"/>
      <c r="D9" s="106"/>
      <c r="E9" s="106"/>
      <c r="F9" s="106"/>
      <c r="G9" s="106"/>
    </row>
    <row r="10" spans="2:7" ht="15.75" x14ac:dyDescent="0.25">
      <c r="B10" s="92" t="s">
        <v>137</v>
      </c>
      <c r="C10" s="106"/>
      <c r="D10" s="106"/>
      <c r="E10" s="106"/>
      <c r="F10" s="106"/>
      <c r="G10" s="106"/>
    </row>
    <row r="11" spans="2:7" ht="16.5" thickBot="1" x14ac:dyDescent="0.3">
      <c r="B11" s="106"/>
      <c r="C11" s="106"/>
      <c r="D11" s="106"/>
      <c r="E11" s="76"/>
      <c r="F11" s="106"/>
      <c r="G11" s="106"/>
    </row>
    <row r="12" spans="2:7" ht="23.25" thickBot="1" x14ac:dyDescent="0.25">
      <c r="B12" s="59" t="s">
        <v>184</v>
      </c>
      <c r="C12" s="166" t="s">
        <v>70</v>
      </c>
      <c r="D12" s="167" t="s">
        <v>137</v>
      </c>
      <c r="E12" s="167" t="s">
        <v>165</v>
      </c>
      <c r="F12" s="173" t="s">
        <v>349</v>
      </c>
      <c r="G12" s="106"/>
    </row>
    <row r="13" spans="2:7" ht="15" x14ac:dyDescent="0.2">
      <c r="B13" s="191">
        <v>4700</v>
      </c>
      <c r="C13" s="109" t="s">
        <v>143</v>
      </c>
      <c r="D13" s="195">
        <v>50644.62</v>
      </c>
      <c r="E13" s="195">
        <v>61611</v>
      </c>
      <c r="F13" s="196">
        <f>E13/D13*100</f>
        <v>121.65359321483702</v>
      </c>
      <c r="G13" t="s">
        <v>188</v>
      </c>
    </row>
    <row r="14" spans="2:7" ht="15.75" x14ac:dyDescent="0.25">
      <c r="B14" s="102"/>
      <c r="C14" s="110"/>
      <c r="D14" s="153"/>
      <c r="E14" s="197"/>
      <c r="F14" s="198"/>
      <c r="G14" t="s">
        <v>189</v>
      </c>
    </row>
    <row r="15" spans="2:7" ht="15.75" thickBot="1" x14ac:dyDescent="0.25">
      <c r="B15" s="199"/>
      <c r="C15" s="200"/>
      <c r="D15" s="154"/>
      <c r="E15" s="201"/>
      <c r="F15" s="202"/>
      <c r="G15" s="106"/>
    </row>
    <row r="16" spans="2:7" ht="16.5" thickBot="1" x14ac:dyDescent="0.3">
      <c r="B16" s="199"/>
      <c r="C16" s="203" t="s">
        <v>71</v>
      </c>
      <c r="D16" s="152">
        <f>SUM(D13:D15)</f>
        <v>50644.62</v>
      </c>
      <c r="E16" s="204">
        <f>SUM(E13:E15)</f>
        <v>61611</v>
      </c>
      <c r="F16" s="205">
        <f>E16/D16*100</f>
        <v>121.65359321483702</v>
      </c>
      <c r="G16" s="130"/>
    </row>
    <row r="17" spans="2:11" ht="15" x14ac:dyDescent="0.2">
      <c r="G17" s="106"/>
    </row>
    <row r="18" spans="2:11" ht="15" x14ac:dyDescent="0.2">
      <c r="G18" s="130"/>
    </row>
    <row r="19" spans="2:11" ht="15.75" thickBot="1" x14ac:dyDescent="0.25">
      <c r="D19" s="18"/>
      <c r="E19" s="18"/>
      <c r="G19" s="130"/>
    </row>
    <row r="20" spans="2:11" ht="23.25" thickBot="1" x14ac:dyDescent="0.25">
      <c r="B20" s="244" t="s">
        <v>184</v>
      </c>
      <c r="C20" s="112" t="s">
        <v>72</v>
      </c>
      <c r="D20" s="168" t="s">
        <v>137</v>
      </c>
      <c r="E20" s="167" t="s">
        <v>165</v>
      </c>
      <c r="F20" s="173" t="s">
        <v>349</v>
      </c>
      <c r="G20" s="106"/>
    </row>
    <row r="21" spans="2:11" ht="15" x14ac:dyDescent="0.2">
      <c r="B21" s="191">
        <v>4702</v>
      </c>
      <c r="C21" s="109" t="s">
        <v>190</v>
      </c>
      <c r="D21" s="215">
        <v>17500</v>
      </c>
      <c r="E21" s="215">
        <v>25314.87</v>
      </c>
      <c r="F21" s="250">
        <f>E21/D21*100</f>
        <v>144.65639999999999</v>
      </c>
      <c r="G21" s="106"/>
    </row>
    <row r="22" spans="2:11" ht="15" x14ac:dyDescent="0.2">
      <c r="B22" s="102">
        <v>4703</v>
      </c>
      <c r="C22" s="110" t="s">
        <v>191</v>
      </c>
      <c r="D22" s="150">
        <v>0</v>
      </c>
      <c r="E22" s="150"/>
      <c r="F22" s="251"/>
      <c r="G22" s="106"/>
    </row>
    <row r="23" spans="2:11" ht="15" x14ac:dyDescent="0.2">
      <c r="B23" s="102">
        <v>4704</v>
      </c>
      <c r="C23" s="110" t="s">
        <v>192</v>
      </c>
      <c r="D23" s="150">
        <v>24400</v>
      </c>
      <c r="E23" s="150">
        <v>26620</v>
      </c>
      <c r="F23" s="251">
        <f t="shared" ref="F23:F24" si="0">E23/D23*100</f>
        <v>109.09836065573771</v>
      </c>
      <c r="G23" s="106"/>
    </row>
    <row r="24" spans="2:11" ht="15.75" thickBot="1" x14ac:dyDescent="0.25">
      <c r="B24" s="218">
        <v>4705</v>
      </c>
      <c r="C24" s="219" t="s">
        <v>193</v>
      </c>
      <c r="D24" s="201">
        <v>8744.6200000000008</v>
      </c>
      <c r="E24" s="201">
        <v>9676.1299999999992</v>
      </c>
      <c r="F24" s="252">
        <f t="shared" si="0"/>
        <v>110.65237826229153</v>
      </c>
      <c r="G24" s="106"/>
    </row>
    <row r="25" spans="2:11" ht="16.5" thickBot="1" x14ac:dyDescent="0.3">
      <c r="B25" s="199"/>
      <c r="C25" s="114" t="s">
        <v>73</v>
      </c>
      <c r="D25" s="151">
        <f>SUM(D21:D24)</f>
        <v>50644.62</v>
      </c>
      <c r="E25" s="152">
        <f>SUM(E21:E24)</f>
        <v>61610.999999999993</v>
      </c>
      <c r="F25" s="452">
        <f>E25/D25*100</f>
        <v>121.65359321483702</v>
      </c>
    </row>
    <row r="29" spans="2:11" x14ac:dyDescent="0.2">
      <c r="K29">
        <f>112/8</f>
        <v>14</v>
      </c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130" zoomScaleNormal="130" workbookViewId="0">
      <selection activeCell="K13" sqref="J13:K13"/>
    </sheetView>
  </sheetViews>
  <sheetFormatPr defaultRowHeight="12.75" x14ac:dyDescent="0.2"/>
  <cols>
    <col min="1" max="1" width="5.5703125" customWidth="1"/>
    <col min="2" max="2" width="7.5703125" customWidth="1"/>
    <col min="3" max="3" width="42.140625" bestFit="1" customWidth="1"/>
    <col min="4" max="4" width="17.7109375" customWidth="1"/>
    <col min="5" max="5" width="14" customWidth="1"/>
    <col min="6" max="6" width="15.7109375" customWidth="1"/>
    <col min="7" max="7" width="12" bestFit="1" customWidth="1"/>
  </cols>
  <sheetData>
    <row r="1" spans="1:6" x14ac:dyDescent="0.2">
      <c r="B1" s="20" t="s">
        <v>2</v>
      </c>
      <c r="C1" s="21"/>
    </row>
    <row r="2" spans="1:6" x14ac:dyDescent="0.2">
      <c r="B2" s="20" t="s">
        <v>67</v>
      </c>
      <c r="C2" s="21"/>
    </row>
    <row r="3" spans="1:6" x14ac:dyDescent="0.2">
      <c r="B3" s="20" t="s">
        <v>68</v>
      </c>
      <c r="C3" s="21"/>
    </row>
    <row r="4" spans="1:6" x14ac:dyDescent="0.2">
      <c r="B4" s="20"/>
      <c r="C4" s="21"/>
    </row>
    <row r="5" spans="1:6" ht="18" x14ac:dyDescent="0.25">
      <c r="B5" s="22" t="s">
        <v>258</v>
      </c>
      <c r="C5" s="21"/>
      <c r="F5" s="22" t="s">
        <v>308</v>
      </c>
    </row>
    <row r="6" spans="1:6" x14ac:dyDescent="0.2">
      <c r="B6" s="20"/>
      <c r="C6" s="21"/>
    </row>
    <row r="7" spans="1:6" ht="16.5" x14ac:dyDescent="0.25">
      <c r="B7" s="49" t="s">
        <v>137</v>
      </c>
    </row>
    <row r="8" spans="1:6" ht="15.75" x14ac:dyDescent="0.25">
      <c r="B8" s="92" t="s">
        <v>259</v>
      </c>
    </row>
    <row r="9" spans="1:6" ht="15.75" x14ac:dyDescent="0.25">
      <c r="B9" s="92"/>
    </row>
    <row r="10" spans="1:6" ht="13.5" thickBot="1" x14ac:dyDescent="0.25">
      <c r="D10" s="18"/>
      <c r="E10" s="129"/>
    </row>
    <row r="11" spans="1:6" ht="25.9" customHeight="1" thickBot="1" x14ac:dyDescent="0.25">
      <c r="A11" s="23"/>
      <c r="B11" s="165" t="s">
        <v>184</v>
      </c>
      <c r="C11" s="166" t="s">
        <v>70</v>
      </c>
      <c r="D11" s="167" t="s">
        <v>137</v>
      </c>
      <c r="E11" s="167" t="s">
        <v>165</v>
      </c>
      <c r="F11" s="173" t="s">
        <v>352</v>
      </c>
    </row>
    <row r="12" spans="1:6" x14ac:dyDescent="0.2">
      <c r="B12" s="169">
        <v>4900</v>
      </c>
      <c r="C12" s="44" t="s">
        <v>225</v>
      </c>
      <c r="D12" s="185">
        <v>68150</v>
      </c>
      <c r="E12" s="536">
        <v>68150</v>
      </c>
      <c r="F12" s="239">
        <f>E12/D12*100</f>
        <v>100</v>
      </c>
    </row>
    <row r="13" spans="1:6" x14ac:dyDescent="0.2">
      <c r="B13" s="48"/>
      <c r="C13" s="45"/>
      <c r="D13" s="186"/>
      <c r="E13" s="551"/>
      <c r="F13" s="170"/>
    </row>
    <row r="14" spans="1:6" ht="13.5" thickBot="1" x14ac:dyDescent="0.25">
      <c r="B14" s="60"/>
      <c r="C14" s="176"/>
      <c r="D14" s="187"/>
      <c r="E14" s="552"/>
      <c r="F14" s="175"/>
    </row>
    <row r="15" spans="1:6" ht="13.5" thickBot="1" x14ac:dyDescent="0.25">
      <c r="B15" s="171"/>
      <c r="C15" s="35" t="s">
        <v>71</v>
      </c>
      <c r="D15" s="188">
        <f>SUM(D12:D14)</f>
        <v>68150</v>
      </c>
      <c r="E15" s="553">
        <f>SUM(E12:E14)</f>
        <v>68150</v>
      </c>
      <c r="F15" s="472">
        <v>100</v>
      </c>
    </row>
    <row r="18" spans="1:7" ht="13.5" thickBot="1" x14ac:dyDescent="0.25">
      <c r="D18" s="18"/>
      <c r="E18" s="18"/>
    </row>
    <row r="19" spans="1:7" ht="24.75" thickBot="1" x14ac:dyDescent="0.25">
      <c r="A19" s="23"/>
      <c r="B19" s="244" t="s">
        <v>184</v>
      </c>
      <c r="C19" s="112" t="s">
        <v>72</v>
      </c>
      <c r="D19" s="167" t="s">
        <v>137</v>
      </c>
      <c r="E19" s="167" t="s">
        <v>165</v>
      </c>
      <c r="F19" s="173" t="s">
        <v>352</v>
      </c>
    </row>
    <row r="20" spans="1:7" x14ac:dyDescent="0.2">
      <c r="B20" s="169">
        <v>4901</v>
      </c>
      <c r="C20" s="44" t="s">
        <v>309</v>
      </c>
      <c r="D20" s="185">
        <v>22520</v>
      </c>
      <c r="E20" s="183">
        <v>18732.560000000001</v>
      </c>
      <c r="F20" s="240">
        <f>E20/D20*100</f>
        <v>83.181882770870345</v>
      </c>
    </row>
    <row r="21" spans="1:7" x14ac:dyDescent="0.2">
      <c r="B21" s="48">
        <v>4902</v>
      </c>
      <c r="C21" s="45" t="s">
        <v>310</v>
      </c>
      <c r="D21" s="186">
        <f>40*800</f>
        <v>32000</v>
      </c>
      <c r="E21" s="182">
        <v>32000</v>
      </c>
      <c r="F21" s="242">
        <f t="shared" ref="F21:F23" si="0">E21/D21*100</f>
        <v>100</v>
      </c>
      <c r="G21" s="412"/>
    </row>
    <row r="22" spans="1:7" x14ac:dyDescent="0.2">
      <c r="B22" s="48">
        <v>4903</v>
      </c>
      <c r="C22" s="45" t="s">
        <v>311</v>
      </c>
      <c r="D22" s="186">
        <f>D12*0.05</f>
        <v>3407.5</v>
      </c>
      <c r="E22" s="182">
        <v>3272.53</v>
      </c>
      <c r="F22" s="242">
        <f t="shared" si="0"/>
        <v>96.03903154805576</v>
      </c>
    </row>
    <row r="23" spans="1:7" x14ac:dyDescent="0.2">
      <c r="B23" s="48">
        <v>4904</v>
      </c>
      <c r="C23" s="45" t="s">
        <v>312</v>
      </c>
      <c r="D23" s="186">
        <f>D12*0.15</f>
        <v>10222.5</v>
      </c>
      <c r="E23" s="182">
        <v>14144.91</v>
      </c>
      <c r="F23" s="242">
        <f t="shared" si="0"/>
        <v>138.37035950110049</v>
      </c>
    </row>
    <row r="24" spans="1:7" ht="13.5" thickBot="1" x14ac:dyDescent="0.25">
      <c r="B24" s="60"/>
      <c r="C24" s="176"/>
      <c r="D24" s="187"/>
      <c r="E24" s="184"/>
      <c r="F24" s="243"/>
    </row>
    <row r="25" spans="1:7" ht="13.5" thickBot="1" x14ac:dyDescent="0.25">
      <c r="B25" s="171"/>
      <c r="C25" s="52" t="s">
        <v>73</v>
      </c>
      <c r="D25" s="188">
        <f>SUM(D20:D23)</f>
        <v>68150</v>
      </c>
      <c r="E25" s="188">
        <f>SUM(E20:E23)</f>
        <v>68150</v>
      </c>
      <c r="F25" s="241">
        <f t="shared" ref="F25" si="1">E25/D25*100</f>
        <v>100</v>
      </c>
    </row>
    <row r="26" spans="1:7" x14ac:dyDescent="0.2">
      <c r="C26" s="62"/>
      <c r="E26" s="31"/>
    </row>
    <row r="27" spans="1:7" x14ac:dyDescent="0.2">
      <c r="C27" s="16"/>
      <c r="D27" s="9"/>
      <c r="E27" s="43"/>
    </row>
    <row r="28" spans="1:7" x14ac:dyDescent="0.2">
      <c r="D28" s="5"/>
      <c r="E28" s="32"/>
    </row>
    <row r="29" spans="1:7" x14ac:dyDescent="0.2">
      <c r="D29" s="31"/>
    </row>
    <row r="30" spans="1:7" x14ac:dyDescent="0.2">
      <c r="D30" s="5"/>
      <c r="E30" s="31"/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workbookViewId="0">
      <selection activeCell="L38" sqref="L37:L38"/>
    </sheetView>
  </sheetViews>
  <sheetFormatPr defaultRowHeight="12.75" x14ac:dyDescent="0.2"/>
  <cols>
    <col min="2" max="2" width="40.28515625" customWidth="1"/>
    <col min="3" max="3" width="35.85546875" customWidth="1"/>
    <col min="4" max="5" width="18.140625" customWidth="1"/>
  </cols>
  <sheetData>
    <row r="4" spans="1:5" x14ac:dyDescent="0.2">
      <c r="A4" s="1" t="s">
        <v>350</v>
      </c>
      <c r="B4" s="1"/>
    </row>
    <row r="5" spans="1:5" x14ac:dyDescent="0.2">
      <c r="A5" s="1"/>
      <c r="B5" s="1"/>
    </row>
    <row r="7" spans="1:5" ht="13.5" thickBot="1" x14ac:dyDescent="0.25"/>
    <row r="8" spans="1:5" ht="24.75" thickBot="1" x14ac:dyDescent="0.25">
      <c r="A8" s="165" t="s">
        <v>184</v>
      </c>
      <c r="B8" s="166" t="s">
        <v>70</v>
      </c>
      <c r="C8" s="167" t="s">
        <v>137</v>
      </c>
      <c r="D8" s="167" t="s">
        <v>165</v>
      </c>
      <c r="E8" s="173" t="s">
        <v>354</v>
      </c>
    </row>
    <row r="9" spans="1:5" x14ac:dyDescent="0.2">
      <c r="A9" s="169">
        <v>5000</v>
      </c>
      <c r="B9" s="44" t="s">
        <v>351</v>
      </c>
      <c r="C9" s="185">
        <v>20239.2</v>
      </c>
      <c r="D9" s="179">
        <v>8764.0499999999993</v>
      </c>
      <c r="E9" s="239">
        <f>+D9/C9*100</f>
        <v>43.302353847978175</v>
      </c>
    </row>
    <row r="10" spans="1:5" x14ac:dyDescent="0.2">
      <c r="A10" s="48">
        <v>5600</v>
      </c>
      <c r="B10" s="45" t="s">
        <v>353</v>
      </c>
      <c r="C10" s="186">
        <v>8000</v>
      </c>
      <c r="D10" s="178">
        <v>13642.56</v>
      </c>
      <c r="E10" s="242">
        <f>+D10/C10*100</f>
        <v>170.53199999999998</v>
      </c>
    </row>
    <row r="11" spans="1:5" ht="13.5" thickBot="1" x14ac:dyDescent="0.25">
      <c r="A11" s="60"/>
      <c r="B11" s="176"/>
      <c r="C11" s="187"/>
      <c r="D11" s="61"/>
      <c r="E11" s="175"/>
    </row>
    <row r="12" spans="1:5" ht="13.5" thickBot="1" x14ac:dyDescent="0.25">
      <c r="A12" s="171"/>
      <c r="B12" s="35" t="s">
        <v>71</v>
      </c>
      <c r="C12" s="188">
        <f>SUM(C9:C11)</f>
        <v>28239.200000000001</v>
      </c>
      <c r="D12" s="180">
        <f>SUM(D9:D11)</f>
        <v>22406.61</v>
      </c>
      <c r="E12" s="472">
        <f>+D12/C12*100</f>
        <v>79.345767585484012</v>
      </c>
    </row>
    <row r="15" spans="1:5" ht="13.5" thickBot="1" x14ac:dyDescent="0.25">
      <c r="C15" s="18"/>
      <c r="D15" s="18"/>
    </row>
    <row r="16" spans="1:5" ht="24.75" thickBot="1" x14ac:dyDescent="0.25">
      <c r="A16" s="59" t="s">
        <v>184</v>
      </c>
      <c r="B16" s="37" t="s">
        <v>72</v>
      </c>
      <c r="C16" s="100" t="s">
        <v>137</v>
      </c>
      <c r="D16" s="100" t="s">
        <v>165</v>
      </c>
      <c r="E16" s="172" t="s">
        <v>352</v>
      </c>
    </row>
    <row r="17" spans="1:5" ht="13.5" thickBot="1" x14ac:dyDescent="0.25">
      <c r="A17" s="169">
        <v>5000</v>
      </c>
      <c r="B17" s="44" t="s">
        <v>351</v>
      </c>
      <c r="C17" s="185">
        <v>20239.2</v>
      </c>
      <c r="D17" s="183">
        <v>8764.0499999999993</v>
      </c>
      <c r="E17" s="240">
        <f>D17/C17*100</f>
        <v>43.302353847978175</v>
      </c>
    </row>
    <row r="18" spans="1:5" ht="13.5" thickBot="1" x14ac:dyDescent="0.25">
      <c r="A18" s="539">
        <v>5600</v>
      </c>
      <c r="B18" s="45" t="s">
        <v>353</v>
      </c>
      <c r="C18" s="540">
        <v>8000</v>
      </c>
      <c r="D18" s="541">
        <v>13775.43</v>
      </c>
      <c r="E18" s="542">
        <f>+D18/C18*100</f>
        <v>172.19287500000002</v>
      </c>
    </row>
    <row r="19" spans="1:5" ht="13.5" thickBot="1" x14ac:dyDescent="0.25">
      <c r="A19" s="171"/>
      <c r="B19" s="52" t="s">
        <v>73</v>
      </c>
      <c r="C19" s="188">
        <f>SUM(C17:C18)</f>
        <v>28239.200000000001</v>
      </c>
      <c r="D19" s="34">
        <f>SUM(D17:D18)</f>
        <v>22539.48</v>
      </c>
      <c r="E19" s="241">
        <f>+D19/C19*100</f>
        <v>79.816283747414943</v>
      </c>
    </row>
    <row r="20" spans="1:5" x14ac:dyDescent="0.2">
      <c r="D2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AT158"/>
  <sheetViews>
    <sheetView zoomScale="110" zoomScaleNormal="110" workbookViewId="0">
      <selection activeCell="C5" sqref="C5"/>
    </sheetView>
  </sheetViews>
  <sheetFormatPr defaultRowHeight="12.75" x14ac:dyDescent="0.2"/>
  <cols>
    <col min="1" max="1" width="6.140625" customWidth="1"/>
    <col min="2" max="2" width="10.140625" customWidth="1"/>
    <col min="3" max="3" width="100.28515625" customWidth="1"/>
    <col min="4" max="4" width="23.42578125" customWidth="1"/>
    <col min="5" max="5" width="19.42578125" bestFit="1" customWidth="1"/>
    <col min="6" max="6" width="17.7109375" customWidth="1"/>
    <col min="7" max="7" width="13.28515625" style="5" customWidth="1"/>
    <col min="8" max="8" width="16.5703125" bestFit="1" customWidth="1"/>
    <col min="9" max="9" width="9.140625" style="5"/>
    <col min="10" max="10" width="9.85546875" bestFit="1" customWidth="1"/>
  </cols>
  <sheetData>
    <row r="1" spans="1:10" ht="15" customHeight="1" x14ac:dyDescent="0.2">
      <c r="B1" s="20" t="s">
        <v>2</v>
      </c>
      <c r="E1" s="1"/>
      <c r="F1" s="1"/>
      <c r="G1"/>
      <c r="H1" s="5"/>
      <c r="I1"/>
      <c r="J1" s="5"/>
    </row>
    <row r="2" spans="1:10" x14ac:dyDescent="0.2">
      <c r="A2" s="64"/>
      <c r="B2" s="20" t="s">
        <v>67</v>
      </c>
      <c r="C2" s="2"/>
      <c r="G2"/>
      <c r="H2" s="5"/>
      <c r="I2"/>
      <c r="J2" s="5"/>
    </row>
    <row r="3" spans="1:10" x14ac:dyDescent="0.2">
      <c r="A3" s="65"/>
      <c r="B3" s="20" t="s">
        <v>68</v>
      </c>
      <c r="C3" s="66"/>
      <c r="D3" s="68"/>
      <c r="E3" s="68"/>
      <c r="G3"/>
      <c r="H3" s="5"/>
      <c r="I3"/>
      <c r="J3" s="5"/>
    </row>
    <row r="4" spans="1:10" x14ac:dyDescent="0.2">
      <c r="G4"/>
      <c r="H4" s="5"/>
      <c r="I4"/>
      <c r="J4" s="5"/>
    </row>
    <row r="5" spans="1:10" x14ac:dyDescent="0.2">
      <c r="G5"/>
      <c r="H5" s="5"/>
      <c r="I5"/>
      <c r="J5" s="5"/>
    </row>
    <row r="6" spans="1:10" x14ac:dyDescent="0.2">
      <c r="G6"/>
      <c r="H6" s="5"/>
      <c r="I6"/>
      <c r="J6" s="5"/>
    </row>
    <row r="7" spans="1:10" x14ac:dyDescent="0.2">
      <c r="C7" s="20"/>
      <c r="G7"/>
      <c r="H7" s="5"/>
      <c r="I7"/>
      <c r="J7" s="5"/>
    </row>
    <row r="8" spans="1:10" ht="18" x14ac:dyDescent="0.25">
      <c r="B8" s="22" t="s">
        <v>218</v>
      </c>
      <c r="E8" s="22" t="s">
        <v>97</v>
      </c>
      <c r="G8"/>
      <c r="H8" s="5"/>
      <c r="I8"/>
      <c r="J8" s="5"/>
    </row>
    <row r="9" spans="1:10" x14ac:dyDescent="0.2">
      <c r="C9" s="20"/>
      <c r="G9"/>
      <c r="H9" s="5"/>
      <c r="I9"/>
      <c r="J9" s="5"/>
    </row>
    <row r="10" spans="1:10" ht="16.5" x14ac:dyDescent="0.25">
      <c r="B10" s="49" t="s">
        <v>137</v>
      </c>
      <c r="G10"/>
      <c r="H10" s="5"/>
      <c r="I10"/>
      <c r="J10" s="5"/>
    </row>
    <row r="11" spans="1:10" x14ac:dyDescent="0.2">
      <c r="C11" s="20"/>
      <c r="G11"/>
      <c r="H11" s="5"/>
      <c r="I11"/>
      <c r="J11" s="5"/>
    </row>
    <row r="12" spans="1:10" ht="13.5" thickBot="1" x14ac:dyDescent="0.25">
      <c r="E12" s="1"/>
      <c r="G12"/>
      <c r="H12" s="5"/>
      <c r="I12"/>
      <c r="J12" s="5"/>
    </row>
    <row r="13" spans="1:10" ht="35.25" customHeight="1" thickBot="1" x14ac:dyDescent="0.25">
      <c r="A13" s="23"/>
      <c r="B13" s="244" t="s">
        <v>184</v>
      </c>
      <c r="C13" s="192" t="s">
        <v>70</v>
      </c>
      <c r="D13" s="113" t="s">
        <v>137</v>
      </c>
      <c r="E13" s="386" t="s">
        <v>165</v>
      </c>
      <c r="F13" s="194" t="s">
        <v>352</v>
      </c>
      <c r="G13" s="127"/>
      <c r="H13" s="5"/>
      <c r="I13"/>
      <c r="J13" s="5"/>
    </row>
    <row r="14" spans="1:10" ht="15.75" thickBot="1" x14ac:dyDescent="0.25">
      <c r="B14" s="191">
        <v>3012</v>
      </c>
      <c r="C14" s="109" t="s">
        <v>228</v>
      </c>
      <c r="D14" s="393">
        <v>234650</v>
      </c>
      <c r="E14" s="394">
        <v>234650</v>
      </c>
      <c r="F14" s="395">
        <f>+E14/D14*100</f>
        <v>100</v>
      </c>
      <c r="H14" s="5"/>
      <c r="I14"/>
      <c r="J14" s="5"/>
    </row>
    <row r="15" spans="1:10" ht="15" customHeight="1" thickBot="1" x14ac:dyDescent="0.25">
      <c r="B15" s="102">
        <v>3021</v>
      </c>
      <c r="C15" s="110" t="s">
        <v>229</v>
      </c>
      <c r="D15" s="285">
        <v>88343.71</v>
      </c>
      <c r="E15" s="285">
        <v>88343.71</v>
      </c>
      <c r="F15" s="395">
        <f t="shared" ref="F15:F20" si="0">+E15/D15*100</f>
        <v>100</v>
      </c>
      <c r="H15" s="5"/>
      <c r="I15"/>
      <c r="J15" s="5"/>
    </row>
    <row r="16" spans="1:10" ht="15" customHeight="1" thickBot="1" x14ac:dyDescent="0.25">
      <c r="B16" s="102">
        <v>2998</v>
      </c>
      <c r="C16" s="110" t="s">
        <v>230</v>
      </c>
      <c r="D16" s="285">
        <v>8200</v>
      </c>
      <c r="E16" s="285">
        <v>8200</v>
      </c>
      <c r="F16" s="395">
        <f t="shared" si="0"/>
        <v>100</v>
      </c>
      <c r="H16" s="5"/>
      <c r="I16"/>
      <c r="J16" s="5"/>
    </row>
    <row r="17" spans="2:10" ht="15" customHeight="1" thickBot="1" x14ac:dyDescent="0.25">
      <c r="B17" s="102">
        <v>3016</v>
      </c>
      <c r="C17" s="110" t="s">
        <v>231</v>
      </c>
      <c r="D17" s="285">
        <v>34000</v>
      </c>
      <c r="E17" s="286">
        <v>38000</v>
      </c>
      <c r="F17" s="395">
        <f t="shared" si="0"/>
        <v>111.76470588235294</v>
      </c>
      <c r="H17" s="5"/>
      <c r="I17"/>
      <c r="J17" s="5"/>
    </row>
    <row r="18" spans="2:10" ht="15" customHeight="1" thickBot="1" x14ac:dyDescent="0.25">
      <c r="B18" s="102">
        <v>3041</v>
      </c>
      <c r="C18" s="110" t="s">
        <v>332</v>
      </c>
      <c r="D18" s="285">
        <f>13000-5000</f>
        <v>8000</v>
      </c>
      <c r="E18" s="287">
        <v>10338.15</v>
      </c>
      <c r="F18" s="395">
        <f t="shared" si="0"/>
        <v>129.22687499999998</v>
      </c>
      <c r="G18" s="272"/>
      <c r="H18" s="5"/>
      <c r="J18" s="5"/>
    </row>
    <row r="19" spans="2:10" ht="15.75" thickBot="1" x14ac:dyDescent="0.25">
      <c r="B19" s="218">
        <v>3059</v>
      </c>
      <c r="C19" s="219"/>
      <c r="D19" s="397"/>
      <c r="E19" s="398">
        <v>6738.6</v>
      </c>
      <c r="F19" s="395"/>
      <c r="G19" s="272"/>
      <c r="H19" s="5"/>
      <c r="J19" s="5"/>
    </row>
    <row r="20" spans="2:10" ht="16.5" thickBot="1" x14ac:dyDescent="0.3">
      <c r="B20" s="171"/>
      <c r="C20" s="111" t="s">
        <v>71</v>
      </c>
      <c r="D20" s="388">
        <f>SUM(D14:D19)</f>
        <v>373193.71</v>
      </c>
      <c r="E20" s="401">
        <f>SUM(E14:E19)</f>
        <v>386270.46</v>
      </c>
      <c r="F20" s="395">
        <f t="shared" si="0"/>
        <v>103.50401136182066</v>
      </c>
      <c r="H20" s="5"/>
      <c r="I20"/>
      <c r="J20" s="5"/>
    </row>
    <row r="21" spans="2:10" ht="15" customHeight="1" thickBot="1" x14ac:dyDescent="0.25">
      <c r="B21" s="70"/>
      <c r="C21" s="71"/>
      <c r="D21" s="123"/>
      <c r="E21" s="123"/>
      <c r="F21" s="69" t="s">
        <v>115</v>
      </c>
      <c r="H21" s="5"/>
      <c r="I21"/>
      <c r="J21" s="5"/>
    </row>
    <row r="22" spans="2:10" ht="39.75" customHeight="1" thickBot="1" x14ac:dyDescent="0.25">
      <c r="B22" s="59" t="s">
        <v>184</v>
      </c>
      <c r="C22" s="228" t="s">
        <v>219</v>
      </c>
      <c r="D22" s="108" t="s">
        <v>137</v>
      </c>
      <c r="E22" s="290" t="s">
        <v>165</v>
      </c>
      <c r="F22" s="194" t="s">
        <v>352</v>
      </c>
      <c r="G22"/>
      <c r="H22" s="5"/>
      <c r="I22"/>
      <c r="J22" s="5"/>
    </row>
    <row r="23" spans="2:10" ht="16.5" thickBot="1" x14ac:dyDescent="0.3">
      <c r="B23" s="638" t="s">
        <v>228</v>
      </c>
      <c r="C23" s="639"/>
      <c r="D23" s="389">
        <f>SUM(D24:D25)</f>
        <v>234650</v>
      </c>
      <c r="E23" s="403">
        <v>232927.44</v>
      </c>
      <c r="F23" s="396">
        <f>E23/D23*100</f>
        <v>99.265902407841466</v>
      </c>
      <c r="G23" s="63"/>
      <c r="H23" s="426"/>
      <c r="I23"/>
      <c r="J23" s="5"/>
    </row>
    <row r="24" spans="2:10" ht="15.75" x14ac:dyDescent="0.25">
      <c r="B24" s="404">
        <v>10100</v>
      </c>
      <c r="C24" s="392" t="s">
        <v>233</v>
      </c>
      <c r="D24" s="385">
        <v>71500</v>
      </c>
      <c r="E24" s="283">
        <v>69777.440000000002</v>
      </c>
      <c r="F24" s="396">
        <f t="shared" ref="F24:F51" si="1">E24/D24*100</f>
        <v>97.590825174825184</v>
      </c>
      <c r="G24" s="9"/>
      <c r="H24" s="426"/>
      <c r="I24"/>
      <c r="J24" s="5"/>
    </row>
    <row r="25" spans="2:10" ht="15.75" x14ac:dyDescent="0.25">
      <c r="B25" s="102"/>
      <c r="C25" s="284" t="s">
        <v>234</v>
      </c>
      <c r="D25" s="285">
        <v>163150</v>
      </c>
      <c r="E25" s="283">
        <v>163150</v>
      </c>
      <c r="F25" s="396">
        <f t="shared" si="1"/>
        <v>100</v>
      </c>
      <c r="G25" s="9"/>
      <c r="H25" s="9"/>
      <c r="I25"/>
      <c r="J25" s="121"/>
    </row>
    <row r="26" spans="2:10" ht="15" x14ac:dyDescent="0.2">
      <c r="B26" s="102">
        <v>10101</v>
      </c>
      <c r="C26" s="110" t="s">
        <v>235</v>
      </c>
      <c r="D26" s="285">
        <v>15000</v>
      </c>
      <c r="E26" s="283">
        <v>11812.87</v>
      </c>
      <c r="F26" s="396">
        <f t="shared" si="1"/>
        <v>78.752466666666677</v>
      </c>
      <c r="G26" s="9"/>
      <c r="H26" s="9"/>
      <c r="I26"/>
      <c r="J26" s="5"/>
    </row>
    <row r="27" spans="2:10" ht="15" x14ac:dyDescent="0.2">
      <c r="B27" s="102">
        <v>10102</v>
      </c>
      <c r="C27" s="110" t="s">
        <v>236</v>
      </c>
      <c r="D27" s="285">
        <v>32000</v>
      </c>
      <c r="E27" s="283">
        <v>30237.94</v>
      </c>
      <c r="F27" s="396">
        <f t="shared" si="1"/>
        <v>94.493562499999996</v>
      </c>
      <c r="G27" s="9"/>
      <c r="H27" s="9"/>
      <c r="J27" s="5"/>
    </row>
    <row r="28" spans="2:10" ht="15" x14ac:dyDescent="0.2">
      <c r="B28" s="102">
        <v>10103</v>
      </c>
      <c r="C28" s="110" t="s">
        <v>237</v>
      </c>
      <c r="D28" s="285">
        <v>21300</v>
      </c>
      <c r="E28" s="283">
        <v>20707.39</v>
      </c>
      <c r="F28" s="396">
        <f t="shared" si="1"/>
        <v>97.217793427230049</v>
      </c>
      <c r="G28" s="9"/>
      <c r="H28" s="9"/>
      <c r="I28"/>
      <c r="J28" s="5"/>
    </row>
    <row r="29" spans="2:10" ht="15" x14ac:dyDescent="0.2">
      <c r="B29" s="102">
        <v>10104</v>
      </c>
      <c r="C29" s="110" t="s">
        <v>238</v>
      </c>
      <c r="D29" s="285">
        <v>17200</v>
      </c>
      <c r="E29" s="283">
        <v>15116.89</v>
      </c>
      <c r="F29" s="396">
        <f t="shared" si="1"/>
        <v>87.88889534883721</v>
      </c>
      <c r="G29" s="9"/>
      <c r="H29" s="9"/>
      <c r="I29"/>
      <c r="J29" s="5"/>
    </row>
    <row r="30" spans="2:10" ht="15" x14ac:dyDescent="0.2">
      <c r="B30" s="102">
        <v>10105</v>
      </c>
      <c r="C30" s="110" t="s">
        <v>239</v>
      </c>
      <c r="D30" s="285">
        <v>68150</v>
      </c>
      <c r="E30" s="283">
        <v>76653.89</v>
      </c>
      <c r="F30" s="396">
        <f t="shared" si="1"/>
        <v>112.47819515774027</v>
      </c>
      <c r="G30" s="9"/>
      <c r="H30" s="9"/>
      <c r="J30" s="5"/>
    </row>
    <row r="31" spans="2:10" ht="15" x14ac:dyDescent="0.2">
      <c r="B31" s="102">
        <v>10106</v>
      </c>
      <c r="C31" s="110" t="s">
        <v>240</v>
      </c>
      <c r="D31" s="285">
        <v>7200</v>
      </c>
      <c r="E31" s="283">
        <v>7390.92</v>
      </c>
      <c r="F31" s="396">
        <f t="shared" si="1"/>
        <v>102.65166666666667</v>
      </c>
      <c r="G31" s="9"/>
      <c r="H31" s="99"/>
      <c r="J31" s="5"/>
    </row>
    <row r="32" spans="2:10" ht="15.75" thickBot="1" x14ac:dyDescent="0.25">
      <c r="B32" s="405">
        <v>10107</v>
      </c>
      <c r="C32" s="210" t="s">
        <v>241</v>
      </c>
      <c r="D32" s="387">
        <v>2300</v>
      </c>
      <c r="E32" s="283">
        <v>1230.0999999999999</v>
      </c>
      <c r="F32" s="396">
        <f t="shared" si="1"/>
        <v>53.482608695652168</v>
      </c>
      <c r="G32" s="9"/>
      <c r="H32" s="99"/>
      <c r="I32"/>
      <c r="J32" s="5"/>
    </row>
    <row r="33" spans="2:10" ht="16.5" thickBot="1" x14ac:dyDescent="0.3">
      <c r="B33" s="654" t="s">
        <v>229</v>
      </c>
      <c r="C33" s="655"/>
      <c r="D33" s="389">
        <f>+D34+D35+D36+D38</f>
        <v>88343.71</v>
      </c>
      <c r="E33" s="538">
        <v>88343.71</v>
      </c>
      <c r="F33" s="396">
        <f t="shared" si="1"/>
        <v>100</v>
      </c>
      <c r="G33" s="9"/>
      <c r="H33" s="120"/>
      <c r="J33" s="5"/>
    </row>
    <row r="34" spans="2:10" ht="15" x14ac:dyDescent="0.2">
      <c r="B34" s="404">
        <v>10200</v>
      </c>
      <c r="C34" s="288" t="s">
        <v>242</v>
      </c>
      <c r="D34" s="385">
        <v>72265.88</v>
      </c>
      <c r="E34" s="285">
        <v>76285.929999999993</v>
      </c>
      <c r="F34" s="396">
        <f t="shared" si="1"/>
        <v>105.56286037062026</v>
      </c>
      <c r="G34" s="9"/>
      <c r="H34" s="99"/>
      <c r="I34"/>
      <c r="J34" s="5"/>
    </row>
    <row r="35" spans="2:10" ht="15" x14ac:dyDescent="0.2">
      <c r="B35" s="102">
        <v>10201</v>
      </c>
      <c r="C35" s="110" t="s">
        <v>243</v>
      </c>
      <c r="D35" s="285">
        <v>2180.98</v>
      </c>
      <c r="E35" s="283">
        <v>2180.98</v>
      </c>
      <c r="F35" s="396">
        <f t="shared" si="1"/>
        <v>100</v>
      </c>
      <c r="G35" s="9"/>
      <c r="H35" s="99"/>
      <c r="I35"/>
      <c r="J35" s="5"/>
    </row>
    <row r="36" spans="2:10" ht="15" x14ac:dyDescent="0.2">
      <c r="B36" s="102">
        <v>10202</v>
      </c>
      <c r="C36" s="110" t="s">
        <v>244</v>
      </c>
      <c r="D36" s="285">
        <v>5578.66</v>
      </c>
      <c r="E36" s="283">
        <v>5578.66</v>
      </c>
      <c r="F36" s="396">
        <f t="shared" si="1"/>
        <v>100</v>
      </c>
      <c r="G36" s="9"/>
      <c r="H36" s="99"/>
      <c r="I36"/>
      <c r="J36" s="5"/>
    </row>
    <row r="37" spans="2:10" ht="15" x14ac:dyDescent="0.2">
      <c r="B37" s="102"/>
      <c r="C37" s="110" t="s">
        <v>245</v>
      </c>
      <c r="D37" s="285">
        <v>5578.66</v>
      </c>
      <c r="E37" s="283"/>
      <c r="F37" s="396">
        <f t="shared" si="1"/>
        <v>0</v>
      </c>
      <c r="G37" s="9"/>
      <c r="H37" s="99"/>
      <c r="I37"/>
      <c r="J37" s="5"/>
    </row>
    <row r="38" spans="2:10" ht="15" x14ac:dyDescent="0.2">
      <c r="B38" s="102">
        <v>10203</v>
      </c>
      <c r="C38" s="110" t="s">
        <v>246</v>
      </c>
      <c r="D38" s="285">
        <v>8318.19</v>
      </c>
      <c r="E38" s="283">
        <v>4298.1400000000003</v>
      </c>
      <c r="F38" s="396">
        <f t="shared" si="1"/>
        <v>51.671577590798002</v>
      </c>
      <c r="G38" s="9"/>
      <c r="H38" s="99"/>
      <c r="I38"/>
      <c r="J38" s="5"/>
    </row>
    <row r="39" spans="2:10" ht="15" x14ac:dyDescent="0.2">
      <c r="B39" s="102"/>
      <c r="C39" s="110" t="s">
        <v>247</v>
      </c>
      <c r="D39" s="285">
        <v>3318.19</v>
      </c>
      <c r="E39" s="283"/>
      <c r="F39" s="396">
        <f t="shared" si="1"/>
        <v>0</v>
      </c>
      <c r="G39" s="9"/>
      <c r="H39" s="99"/>
      <c r="I39"/>
      <c r="J39" s="5"/>
    </row>
    <row r="40" spans="2:10" ht="15.75" thickBot="1" x14ac:dyDescent="0.25">
      <c r="B40" s="405"/>
      <c r="C40" s="210" t="s">
        <v>248</v>
      </c>
      <c r="D40" s="387">
        <v>5000</v>
      </c>
      <c r="E40" s="283"/>
      <c r="F40" s="396">
        <f t="shared" si="1"/>
        <v>0</v>
      </c>
      <c r="G40" s="9"/>
      <c r="H40" s="99"/>
      <c r="I40"/>
      <c r="J40" s="5"/>
    </row>
    <row r="41" spans="2:10" ht="16.5" thickBot="1" x14ac:dyDescent="0.3">
      <c r="B41" s="654" t="s">
        <v>230</v>
      </c>
      <c r="C41" s="655"/>
      <c r="D41" s="389">
        <f>SUM(D42:D44)</f>
        <v>8200</v>
      </c>
      <c r="E41" s="537">
        <v>8200</v>
      </c>
      <c r="F41" s="396">
        <f t="shared" si="1"/>
        <v>100</v>
      </c>
      <c r="G41" s="9"/>
      <c r="H41" s="99"/>
      <c r="I41"/>
      <c r="J41" s="5"/>
    </row>
    <row r="42" spans="2:10" ht="15" x14ac:dyDescent="0.2">
      <c r="B42" s="404">
        <v>10300</v>
      </c>
      <c r="C42" s="288" t="s">
        <v>249</v>
      </c>
      <c r="D42" s="385">
        <v>5500</v>
      </c>
      <c r="E42" s="283">
        <v>5500</v>
      </c>
      <c r="F42" s="396">
        <f t="shared" si="1"/>
        <v>100</v>
      </c>
      <c r="G42" s="9"/>
      <c r="H42" s="99"/>
      <c r="I42"/>
      <c r="J42" s="5"/>
    </row>
    <row r="43" spans="2:10" ht="15" x14ac:dyDescent="0.2">
      <c r="B43" s="102">
        <v>10301</v>
      </c>
      <c r="C43" s="110" t="s">
        <v>250</v>
      </c>
      <c r="D43" s="285">
        <v>2300</v>
      </c>
      <c r="E43" s="283">
        <v>2300</v>
      </c>
      <c r="F43" s="396">
        <f t="shared" si="1"/>
        <v>100</v>
      </c>
      <c r="G43" s="9"/>
      <c r="H43" s="99"/>
      <c r="I43"/>
      <c r="J43" s="5"/>
    </row>
    <row r="44" spans="2:10" ht="15.75" thickBot="1" x14ac:dyDescent="0.25">
      <c r="B44" s="405">
        <v>10302</v>
      </c>
      <c r="C44" s="210" t="s">
        <v>251</v>
      </c>
      <c r="D44" s="387">
        <v>400</v>
      </c>
      <c r="E44" s="283">
        <v>400</v>
      </c>
      <c r="F44" s="396">
        <f t="shared" si="1"/>
        <v>100</v>
      </c>
      <c r="G44" s="9"/>
      <c r="H44" s="99"/>
      <c r="I44"/>
      <c r="J44" s="5"/>
    </row>
    <row r="45" spans="2:10" ht="16.5" thickBot="1" x14ac:dyDescent="0.3">
      <c r="B45" s="212"/>
      <c r="C45" s="390" t="s">
        <v>231</v>
      </c>
      <c r="D45" s="391">
        <f>SUM(D46:D48)</f>
        <v>34000</v>
      </c>
      <c r="E45" s="537">
        <v>38000</v>
      </c>
      <c r="F45" s="396">
        <f t="shared" si="1"/>
        <v>111.76470588235294</v>
      </c>
      <c r="G45" s="9"/>
      <c r="H45" s="99"/>
      <c r="I45"/>
      <c r="J45" s="5"/>
    </row>
    <row r="46" spans="2:10" ht="15" x14ac:dyDescent="0.2">
      <c r="B46" s="404">
        <v>10400</v>
      </c>
      <c r="C46" s="288" t="s">
        <v>252</v>
      </c>
      <c r="D46" s="385">
        <v>21871.34</v>
      </c>
      <c r="E46" s="283">
        <v>21871.34</v>
      </c>
      <c r="F46" s="396">
        <f t="shared" si="1"/>
        <v>100</v>
      </c>
      <c r="G46" s="9"/>
      <c r="H46" s="99"/>
      <c r="I46"/>
      <c r="J46" s="5"/>
    </row>
    <row r="47" spans="2:10" ht="15" x14ac:dyDescent="0.2">
      <c r="B47" s="102">
        <v>10401</v>
      </c>
      <c r="C47" s="110" t="s">
        <v>253</v>
      </c>
      <c r="D47" s="285">
        <v>6128.66</v>
      </c>
      <c r="E47" s="283">
        <v>16128.66</v>
      </c>
      <c r="F47" s="396">
        <f t="shared" si="1"/>
        <v>263.16780503405312</v>
      </c>
      <c r="G47" s="9"/>
      <c r="H47" s="99"/>
      <c r="I47"/>
      <c r="J47" s="5"/>
    </row>
    <row r="48" spans="2:10" ht="15.75" thickBot="1" x14ac:dyDescent="0.25">
      <c r="B48" s="405">
        <v>10402</v>
      </c>
      <c r="C48" s="210" t="s">
        <v>254</v>
      </c>
      <c r="D48" s="425">
        <v>6000</v>
      </c>
      <c r="E48" s="283"/>
      <c r="F48" s="396">
        <f t="shared" si="1"/>
        <v>0</v>
      </c>
      <c r="G48" s="9"/>
      <c r="H48" s="99"/>
      <c r="I48"/>
      <c r="J48" s="5"/>
    </row>
    <row r="49" spans="1:46" ht="16.5" thickBot="1" x14ac:dyDescent="0.3">
      <c r="B49" s="654" t="s">
        <v>232</v>
      </c>
      <c r="C49" s="655"/>
      <c r="D49" s="391">
        <f>SUM(D50:D51)</f>
        <v>13000</v>
      </c>
      <c r="E49" s="537">
        <v>17076.75</v>
      </c>
      <c r="F49" s="396">
        <f t="shared" si="1"/>
        <v>131.35961538461538</v>
      </c>
      <c r="G49" s="9"/>
      <c r="H49" s="99"/>
      <c r="I49"/>
      <c r="J49" s="5"/>
    </row>
    <row r="50" spans="1:46" ht="15" x14ac:dyDescent="0.2">
      <c r="B50" s="404">
        <v>10500</v>
      </c>
      <c r="C50" s="288" t="s">
        <v>255</v>
      </c>
      <c r="D50" s="289">
        <v>10000</v>
      </c>
      <c r="E50" s="283">
        <v>7544.55</v>
      </c>
      <c r="F50" s="396">
        <f t="shared" si="1"/>
        <v>75.445499999999996</v>
      </c>
      <c r="G50" s="9"/>
      <c r="H50" s="99"/>
      <c r="I50"/>
      <c r="J50" s="5"/>
    </row>
    <row r="51" spans="1:46" ht="15" x14ac:dyDescent="0.2">
      <c r="B51" s="102">
        <v>10501</v>
      </c>
      <c r="C51" s="110" t="s">
        <v>256</v>
      </c>
      <c r="D51" s="283">
        <v>3000</v>
      </c>
      <c r="E51" s="283">
        <v>2793.6</v>
      </c>
      <c r="F51" s="396">
        <f t="shared" si="1"/>
        <v>93.11999999999999</v>
      </c>
      <c r="G51" s="9"/>
      <c r="H51" s="99"/>
      <c r="I51"/>
      <c r="J51" s="5"/>
    </row>
    <row r="52" spans="1:46" s="74" customFormat="1" ht="15" x14ac:dyDescent="0.2">
      <c r="A52"/>
      <c r="B52" s="102">
        <v>10600</v>
      </c>
      <c r="C52" s="110"/>
      <c r="D52" s="283"/>
      <c r="E52" s="283">
        <v>6738.6</v>
      </c>
      <c r="F52" s="396"/>
      <c r="G52" s="9"/>
      <c r="H52" s="99"/>
      <c r="I52"/>
      <c r="J52" s="5"/>
      <c r="K52"/>
      <c r="L52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</row>
    <row r="53" spans="1:46" ht="15.75" thickBot="1" x14ac:dyDescent="0.25">
      <c r="A53" s="74"/>
      <c r="B53" s="405"/>
      <c r="C53" s="210"/>
      <c r="D53" s="399"/>
      <c r="E53" s="399"/>
      <c r="F53" s="406"/>
      <c r="G53" s="9"/>
      <c r="H53" s="99"/>
      <c r="I53" s="73"/>
      <c r="J53" s="72"/>
      <c r="K53" s="73"/>
      <c r="L53" s="73"/>
    </row>
    <row r="54" spans="1:46" s="73" customFormat="1" ht="16.5" thickBot="1" x14ac:dyDescent="0.3">
      <c r="A54"/>
      <c r="B54" s="212"/>
      <c r="C54" s="400" t="s">
        <v>257</v>
      </c>
      <c r="D54" s="401">
        <f>+D49+D45+D41+D33+D23</f>
        <v>378193.71</v>
      </c>
      <c r="E54" s="401">
        <v>384547.9</v>
      </c>
      <c r="F54" s="402">
        <f>E54/D54*100</f>
        <v>101.68014163958465</v>
      </c>
      <c r="G54" s="9"/>
      <c r="H54" s="99"/>
      <c r="I54"/>
      <c r="J54" s="5"/>
      <c r="K54"/>
      <c r="L54"/>
    </row>
    <row r="55" spans="1:46" x14ac:dyDescent="0.2">
      <c r="C55" s="273"/>
      <c r="D55" s="274"/>
      <c r="E55" s="275"/>
      <c r="F55" s="5"/>
      <c r="G55"/>
      <c r="H55" s="9"/>
      <c r="I55"/>
      <c r="J55" s="5"/>
    </row>
    <row r="56" spans="1:46" x14ac:dyDescent="0.2">
      <c r="D56" s="276"/>
      <c r="E56" s="276"/>
      <c r="F56" s="5" t="s">
        <v>115</v>
      </c>
      <c r="G56"/>
      <c r="H56" s="1"/>
      <c r="I56"/>
      <c r="J56" s="5"/>
    </row>
    <row r="57" spans="1:46" x14ac:dyDescent="0.2">
      <c r="D57" s="276"/>
      <c r="E57" s="276"/>
      <c r="F57" s="5" t="s">
        <v>115</v>
      </c>
      <c r="G57"/>
      <c r="H57" s="1"/>
      <c r="I57"/>
      <c r="J57" s="5"/>
    </row>
    <row r="58" spans="1:46" x14ac:dyDescent="0.2">
      <c r="B58" s="70"/>
      <c r="C58" s="70"/>
      <c r="D58" s="276"/>
      <c r="E58" s="276"/>
      <c r="F58" s="5"/>
      <c r="G58"/>
      <c r="H58" s="1"/>
      <c r="I58"/>
      <c r="J58" s="5"/>
    </row>
    <row r="59" spans="1:46" x14ac:dyDescent="0.2">
      <c r="C59" s="277"/>
      <c r="D59" s="75"/>
      <c r="E59" s="75"/>
      <c r="F59" s="5"/>
      <c r="G59"/>
      <c r="H59" s="1"/>
      <c r="I59"/>
      <c r="J59" s="5"/>
    </row>
    <row r="60" spans="1:46" x14ac:dyDescent="0.2">
      <c r="C60" s="277"/>
      <c r="D60" s="278"/>
      <c r="E60" s="278"/>
      <c r="F60" s="5"/>
      <c r="G60"/>
      <c r="H60" s="1"/>
      <c r="I60"/>
      <c r="J60" s="5"/>
    </row>
    <row r="61" spans="1:46" x14ac:dyDescent="0.2">
      <c r="C61" s="279"/>
      <c r="D61" s="75"/>
      <c r="E61" s="75"/>
      <c r="F61" s="5"/>
      <c r="G61"/>
      <c r="H61" s="1"/>
      <c r="I61"/>
      <c r="J61" s="5"/>
    </row>
    <row r="62" spans="1:46" x14ac:dyDescent="0.2">
      <c r="C62" s="279"/>
      <c r="D62" s="5"/>
      <c r="E62" s="5"/>
      <c r="G62"/>
      <c r="H62" s="1"/>
      <c r="I62"/>
      <c r="J62" s="5"/>
    </row>
    <row r="63" spans="1:46" x14ac:dyDescent="0.2">
      <c r="B63" s="5"/>
      <c r="C63" s="5"/>
      <c r="G63"/>
      <c r="H63" s="1"/>
      <c r="I63"/>
      <c r="J63" s="5"/>
    </row>
    <row r="64" spans="1:46" x14ac:dyDescent="0.2">
      <c r="B64" s="5"/>
      <c r="C64" s="9"/>
      <c r="G64"/>
      <c r="H64" s="1"/>
      <c r="I64"/>
      <c r="J64" s="5"/>
    </row>
    <row r="65" spans="2:10" x14ac:dyDescent="0.2">
      <c r="B65" s="5"/>
      <c r="D65" s="280"/>
      <c r="E65" s="280"/>
      <c r="G65"/>
      <c r="H65" s="1"/>
      <c r="I65"/>
      <c r="J65" s="5"/>
    </row>
    <row r="66" spans="2:10" x14ac:dyDescent="0.2">
      <c r="B66" s="5"/>
      <c r="D66" s="281"/>
      <c r="E66" s="281"/>
      <c r="G66"/>
      <c r="H66" s="1"/>
      <c r="I66"/>
      <c r="J66" s="5"/>
    </row>
    <row r="67" spans="2:10" x14ac:dyDescent="0.2">
      <c r="B67" s="5"/>
      <c r="D67" s="281"/>
      <c r="E67" s="281"/>
      <c r="G67"/>
      <c r="H67" s="1"/>
      <c r="I67"/>
      <c r="J67" s="5"/>
    </row>
    <row r="68" spans="2:10" x14ac:dyDescent="0.2">
      <c r="B68" s="5"/>
      <c r="D68" s="281"/>
      <c r="E68" s="281"/>
      <c r="G68"/>
      <c r="H68" s="1"/>
      <c r="I68"/>
      <c r="J68" s="5"/>
    </row>
    <row r="69" spans="2:10" x14ac:dyDescent="0.2">
      <c r="B69" s="5"/>
      <c r="D69" s="281"/>
      <c r="E69" s="281"/>
      <c r="G69"/>
      <c r="H69" s="1"/>
      <c r="I69"/>
      <c r="J69" s="5"/>
    </row>
    <row r="70" spans="2:10" x14ac:dyDescent="0.2">
      <c r="B70" s="282"/>
      <c r="C70" s="5"/>
      <c r="D70" s="281"/>
      <c r="E70" s="281"/>
      <c r="G70"/>
      <c r="H70" s="1"/>
      <c r="I70"/>
      <c r="J70" s="5"/>
    </row>
    <row r="71" spans="2:10" x14ac:dyDescent="0.2">
      <c r="B71" s="282"/>
      <c r="C71" s="5"/>
      <c r="D71" s="281"/>
      <c r="E71" s="281"/>
      <c r="G71"/>
      <c r="H71" s="1"/>
      <c r="I71"/>
      <c r="J71" s="5"/>
    </row>
    <row r="72" spans="2:10" x14ac:dyDescent="0.2">
      <c r="B72" s="5"/>
      <c r="D72" s="281"/>
      <c r="E72" s="281"/>
      <c r="G72"/>
      <c r="H72" s="1"/>
      <c r="I72"/>
      <c r="J72" s="5"/>
    </row>
    <row r="73" spans="2:10" x14ac:dyDescent="0.2">
      <c r="B73" s="5"/>
      <c r="D73" s="281"/>
      <c r="E73" s="281"/>
      <c r="G73"/>
      <c r="H73" s="1"/>
      <c r="I73"/>
      <c r="J73" s="5"/>
    </row>
    <row r="74" spans="2:10" x14ac:dyDescent="0.2">
      <c r="B74" s="5"/>
      <c r="D74" s="281"/>
      <c r="E74" s="281"/>
      <c r="G74"/>
      <c r="H74" s="1"/>
      <c r="I74"/>
      <c r="J74" s="5"/>
    </row>
    <row r="75" spans="2:10" x14ac:dyDescent="0.2">
      <c r="B75" s="282"/>
      <c r="D75" s="281"/>
      <c r="E75" s="281"/>
      <c r="G75"/>
      <c r="H75" s="1"/>
      <c r="I75"/>
      <c r="J75" s="5"/>
    </row>
    <row r="76" spans="2:10" x14ac:dyDescent="0.2">
      <c r="B76" s="5"/>
      <c r="D76" s="281"/>
      <c r="E76" s="281"/>
      <c r="G76"/>
      <c r="H76" s="1"/>
      <c r="I76"/>
      <c r="J76" s="5"/>
    </row>
    <row r="77" spans="2:10" x14ac:dyDescent="0.2">
      <c r="B77" s="278"/>
      <c r="C77" s="70"/>
      <c r="D77" s="281"/>
      <c r="E77" s="281"/>
      <c r="G77"/>
      <c r="H77" s="1"/>
      <c r="I77"/>
      <c r="J77" s="5"/>
    </row>
    <row r="78" spans="2:10" x14ac:dyDescent="0.2">
      <c r="B78" s="70"/>
      <c r="C78" s="70"/>
      <c r="D78" s="67"/>
      <c r="E78" s="67"/>
      <c r="G78"/>
      <c r="H78" s="1"/>
      <c r="I78"/>
      <c r="J78" s="5"/>
    </row>
    <row r="79" spans="2:10" x14ac:dyDescent="0.2">
      <c r="B79" s="278"/>
      <c r="C79" s="70"/>
      <c r="G79"/>
      <c r="H79" s="1"/>
      <c r="I79"/>
      <c r="J79" s="5"/>
    </row>
    <row r="80" spans="2:10" x14ac:dyDescent="0.2">
      <c r="G80"/>
      <c r="H80" s="9"/>
      <c r="I80"/>
      <c r="J80" s="5"/>
    </row>
    <row r="81" spans="7:10" x14ac:dyDescent="0.2">
      <c r="G81"/>
      <c r="H81" s="9"/>
      <c r="I81"/>
      <c r="J81" s="5"/>
    </row>
    <row r="82" spans="7:10" x14ac:dyDescent="0.2">
      <c r="G82"/>
      <c r="H82" s="9"/>
      <c r="I82"/>
      <c r="J82" s="5"/>
    </row>
    <row r="83" spans="7:10" x14ac:dyDescent="0.2">
      <c r="G83"/>
      <c r="H83" s="9"/>
      <c r="I83"/>
      <c r="J83" s="5"/>
    </row>
    <row r="84" spans="7:10" x14ac:dyDescent="0.2">
      <c r="G84"/>
      <c r="H84" s="9"/>
      <c r="I84"/>
      <c r="J84" s="5"/>
    </row>
    <row r="85" spans="7:10" x14ac:dyDescent="0.2">
      <c r="G85"/>
      <c r="H85" s="9"/>
      <c r="I85"/>
      <c r="J85" s="5"/>
    </row>
    <row r="86" spans="7:10" x14ac:dyDescent="0.2">
      <c r="G86"/>
      <c r="H86" s="9"/>
      <c r="I86"/>
      <c r="J86" s="5"/>
    </row>
    <row r="87" spans="7:10" x14ac:dyDescent="0.2">
      <c r="G87"/>
      <c r="H87" s="9"/>
      <c r="I87"/>
      <c r="J87" s="5"/>
    </row>
    <row r="88" spans="7:10" x14ac:dyDescent="0.2">
      <c r="G88"/>
      <c r="H88" s="9"/>
      <c r="I88"/>
      <c r="J88" s="5"/>
    </row>
    <row r="89" spans="7:10" x14ac:dyDescent="0.2">
      <c r="G89"/>
      <c r="H89" s="9"/>
      <c r="I89"/>
      <c r="J89" s="5"/>
    </row>
    <row r="90" spans="7:10" x14ac:dyDescent="0.2">
      <c r="G90"/>
      <c r="H90" s="9"/>
      <c r="I90"/>
      <c r="J90" s="5"/>
    </row>
    <row r="91" spans="7:10" x14ac:dyDescent="0.2">
      <c r="G91"/>
      <c r="H91" s="9"/>
      <c r="I91"/>
      <c r="J91" s="5"/>
    </row>
    <row r="92" spans="7:10" x14ac:dyDescent="0.2">
      <c r="G92"/>
      <c r="H92" s="9"/>
      <c r="I92"/>
      <c r="J92" s="5"/>
    </row>
    <row r="93" spans="7:10" x14ac:dyDescent="0.2">
      <c r="G93"/>
      <c r="H93" s="9"/>
      <c r="I93"/>
      <c r="J93" s="5"/>
    </row>
    <row r="94" spans="7:10" x14ac:dyDescent="0.2">
      <c r="G94"/>
      <c r="H94" s="9"/>
      <c r="I94"/>
      <c r="J94" s="5"/>
    </row>
    <row r="95" spans="7:10" x14ac:dyDescent="0.2">
      <c r="G95"/>
      <c r="H95" s="9"/>
      <c r="I95"/>
      <c r="J95" s="5"/>
    </row>
    <row r="96" spans="7:10" x14ac:dyDescent="0.2">
      <c r="G96"/>
      <c r="H96" s="9"/>
      <c r="I96"/>
      <c r="J96" s="5"/>
    </row>
    <row r="97" spans="7:10" x14ac:dyDescent="0.2">
      <c r="G97"/>
      <c r="H97" s="9"/>
      <c r="I97"/>
      <c r="J97" s="5"/>
    </row>
    <row r="98" spans="7:10" x14ac:dyDescent="0.2">
      <c r="G98"/>
      <c r="H98" s="9"/>
      <c r="I98"/>
      <c r="J98" s="5"/>
    </row>
    <row r="99" spans="7:10" x14ac:dyDescent="0.2">
      <c r="G99"/>
      <c r="H99" s="9"/>
      <c r="I99"/>
      <c r="J99" s="5"/>
    </row>
    <row r="100" spans="7:10" x14ac:dyDescent="0.2">
      <c r="G100"/>
      <c r="H100" s="5"/>
      <c r="I100"/>
      <c r="J100" s="5"/>
    </row>
    <row r="101" spans="7:10" x14ac:dyDescent="0.2">
      <c r="G101"/>
      <c r="H101" s="5"/>
      <c r="I101"/>
      <c r="J101" s="5"/>
    </row>
    <row r="102" spans="7:10" x14ac:dyDescent="0.2">
      <c r="G102"/>
      <c r="H102" s="5"/>
      <c r="I102"/>
      <c r="J102" s="5"/>
    </row>
    <row r="103" spans="7:10" x14ac:dyDescent="0.2">
      <c r="G103"/>
      <c r="H103" s="5"/>
      <c r="I103"/>
      <c r="J103" s="5"/>
    </row>
    <row r="104" spans="7:10" x14ac:dyDescent="0.2">
      <c r="G104"/>
      <c r="H104" s="5"/>
      <c r="I104"/>
      <c r="J104" s="5"/>
    </row>
    <row r="105" spans="7:10" x14ac:dyDescent="0.2">
      <c r="G105"/>
      <c r="H105" s="5"/>
      <c r="I105"/>
      <c r="J105" s="5"/>
    </row>
    <row r="106" spans="7:10" x14ac:dyDescent="0.2">
      <c r="G106"/>
      <c r="H106" s="5"/>
      <c r="I106"/>
      <c r="J106" s="5"/>
    </row>
    <row r="107" spans="7:10" x14ac:dyDescent="0.2">
      <c r="G107"/>
      <c r="H107" s="5"/>
      <c r="I107"/>
      <c r="J107" s="5"/>
    </row>
    <row r="108" spans="7:10" x14ac:dyDescent="0.2">
      <c r="G108"/>
      <c r="H108" s="5"/>
      <c r="I108"/>
      <c r="J108" s="5"/>
    </row>
    <row r="109" spans="7:10" x14ac:dyDescent="0.2">
      <c r="G109"/>
      <c r="H109" s="5"/>
      <c r="I109"/>
      <c r="J109" s="5"/>
    </row>
    <row r="110" spans="7:10" x14ac:dyDescent="0.2">
      <c r="G110"/>
      <c r="H110" s="5"/>
      <c r="I110"/>
      <c r="J110" s="5"/>
    </row>
    <row r="111" spans="7:10" x14ac:dyDescent="0.2">
      <c r="G111"/>
      <c r="H111" s="5"/>
      <c r="I111"/>
      <c r="J111" s="5"/>
    </row>
    <row r="112" spans="7:10" x14ac:dyDescent="0.2">
      <c r="G112"/>
      <c r="H112" s="5"/>
      <c r="I112"/>
      <c r="J112" s="5"/>
    </row>
    <row r="113" spans="7:10" x14ac:dyDescent="0.2">
      <c r="G113"/>
      <c r="H113" s="5"/>
      <c r="I113"/>
      <c r="J113" s="5"/>
    </row>
    <row r="114" spans="7:10" x14ac:dyDescent="0.2">
      <c r="G114"/>
      <c r="H114" s="5"/>
      <c r="I114"/>
      <c r="J114" s="5"/>
    </row>
    <row r="115" spans="7:10" x14ac:dyDescent="0.2">
      <c r="G115"/>
      <c r="H115" s="5"/>
      <c r="I115"/>
      <c r="J115" s="5"/>
    </row>
    <row r="116" spans="7:10" x14ac:dyDescent="0.2">
      <c r="G116"/>
      <c r="H116" s="5"/>
      <c r="I116"/>
      <c r="J116" s="5"/>
    </row>
    <row r="117" spans="7:10" x14ac:dyDescent="0.2">
      <c r="G117"/>
      <c r="H117" s="5"/>
      <c r="I117"/>
      <c r="J117" s="5"/>
    </row>
    <row r="118" spans="7:10" x14ac:dyDescent="0.2">
      <c r="G118"/>
      <c r="H118" s="5"/>
      <c r="I118"/>
      <c r="J118" s="5"/>
    </row>
    <row r="119" spans="7:10" x14ac:dyDescent="0.2">
      <c r="G119"/>
      <c r="H119" s="5"/>
      <c r="I119"/>
      <c r="J119" s="5"/>
    </row>
    <row r="120" spans="7:10" x14ac:dyDescent="0.2">
      <c r="G120"/>
      <c r="H120" s="5"/>
      <c r="I120"/>
      <c r="J120" s="5"/>
    </row>
    <row r="121" spans="7:10" x14ac:dyDescent="0.2">
      <c r="G121"/>
      <c r="H121" s="5"/>
      <c r="I121"/>
      <c r="J121" s="5"/>
    </row>
    <row r="122" spans="7:10" x14ac:dyDescent="0.2">
      <c r="G122"/>
      <c r="H122" s="5"/>
      <c r="I122"/>
      <c r="J122" s="5"/>
    </row>
    <row r="123" spans="7:10" x14ac:dyDescent="0.2">
      <c r="G123"/>
      <c r="H123" s="5"/>
      <c r="I123"/>
      <c r="J123" s="5"/>
    </row>
    <row r="124" spans="7:10" x14ac:dyDescent="0.2">
      <c r="G124"/>
      <c r="H124" s="5"/>
      <c r="I124"/>
      <c r="J124" s="5"/>
    </row>
    <row r="125" spans="7:10" x14ac:dyDescent="0.2">
      <c r="G125"/>
      <c r="H125" s="5"/>
      <c r="I125"/>
      <c r="J125" s="5"/>
    </row>
    <row r="126" spans="7:10" x14ac:dyDescent="0.2">
      <c r="G126"/>
      <c r="H126" s="5"/>
      <c r="I126"/>
      <c r="J126" s="5"/>
    </row>
    <row r="127" spans="7:10" x14ac:dyDescent="0.2">
      <c r="G127"/>
      <c r="H127" s="5"/>
      <c r="I127"/>
      <c r="J127" s="5"/>
    </row>
    <row r="128" spans="7:10" x14ac:dyDescent="0.2">
      <c r="G128"/>
      <c r="H128" s="5"/>
      <c r="I128"/>
      <c r="J128" s="5"/>
    </row>
    <row r="129" spans="7:10" x14ac:dyDescent="0.2">
      <c r="G129"/>
      <c r="H129" s="5"/>
      <c r="I129"/>
      <c r="J129" s="5"/>
    </row>
    <row r="130" spans="7:10" x14ac:dyDescent="0.2">
      <c r="G130"/>
      <c r="H130" s="5"/>
      <c r="I130"/>
      <c r="J130" s="5"/>
    </row>
    <row r="131" spans="7:10" x14ac:dyDescent="0.2">
      <c r="G131"/>
      <c r="H131" s="5"/>
      <c r="I131"/>
      <c r="J131" s="5"/>
    </row>
    <row r="132" spans="7:10" x14ac:dyDescent="0.2">
      <c r="G132"/>
      <c r="H132" s="5"/>
      <c r="I132"/>
      <c r="J132" s="5"/>
    </row>
    <row r="133" spans="7:10" x14ac:dyDescent="0.2">
      <c r="G133"/>
      <c r="H133" s="5"/>
      <c r="I133"/>
      <c r="J133" s="5"/>
    </row>
    <row r="134" spans="7:10" x14ac:dyDescent="0.2">
      <c r="G134"/>
      <c r="H134" s="5"/>
      <c r="I134"/>
      <c r="J134" s="5"/>
    </row>
    <row r="135" spans="7:10" x14ac:dyDescent="0.2">
      <c r="G135"/>
      <c r="H135" s="5"/>
      <c r="I135"/>
      <c r="J135" s="5"/>
    </row>
    <row r="136" spans="7:10" x14ac:dyDescent="0.2">
      <c r="G136"/>
      <c r="H136" s="5"/>
      <c r="I136"/>
      <c r="J136" s="5"/>
    </row>
    <row r="137" spans="7:10" x14ac:dyDescent="0.2">
      <c r="G137"/>
      <c r="H137" s="5"/>
      <c r="I137"/>
      <c r="J137" s="5"/>
    </row>
    <row r="138" spans="7:10" x14ac:dyDescent="0.2">
      <c r="G138"/>
      <c r="H138" s="5"/>
      <c r="I138"/>
      <c r="J138" s="5"/>
    </row>
    <row r="139" spans="7:10" x14ac:dyDescent="0.2">
      <c r="G139"/>
      <c r="H139" s="5"/>
      <c r="I139"/>
      <c r="J139" s="5"/>
    </row>
    <row r="140" spans="7:10" x14ac:dyDescent="0.2">
      <c r="G140"/>
      <c r="H140" s="5"/>
      <c r="I140"/>
      <c r="J140" s="5"/>
    </row>
    <row r="141" spans="7:10" x14ac:dyDescent="0.2">
      <c r="G141"/>
      <c r="H141" s="5"/>
      <c r="I141"/>
      <c r="J141" s="5"/>
    </row>
    <row r="142" spans="7:10" x14ac:dyDescent="0.2">
      <c r="G142"/>
      <c r="H142" s="5"/>
      <c r="I142"/>
      <c r="J142" s="5"/>
    </row>
    <row r="143" spans="7:10" x14ac:dyDescent="0.2">
      <c r="G143"/>
      <c r="H143" s="5"/>
      <c r="I143"/>
      <c r="J143" s="5"/>
    </row>
    <row r="144" spans="7:10" x14ac:dyDescent="0.2">
      <c r="G144"/>
      <c r="H144" s="5"/>
      <c r="I144"/>
      <c r="J144" s="5"/>
    </row>
    <row r="145" spans="4:10" x14ac:dyDescent="0.2">
      <c r="G145"/>
      <c r="H145" s="5"/>
      <c r="I145"/>
      <c r="J145" s="5"/>
    </row>
    <row r="146" spans="4:10" x14ac:dyDescent="0.2">
      <c r="G146"/>
      <c r="H146" s="5"/>
      <c r="I146"/>
      <c r="J146" s="5"/>
    </row>
    <row r="147" spans="4:10" x14ac:dyDescent="0.2">
      <c r="D147" s="5"/>
      <c r="E147" s="5"/>
      <c r="G147"/>
      <c r="I147"/>
      <c r="J147" s="5"/>
    </row>
    <row r="148" spans="4:10" x14ac:dyDescent="0.2">
      <c r="G148"/>
      <c r="H148" s="5"/>
      <c r="I148"/>
      <c r="J148" s="5"/>
    </row>
    <row r="149" spans="4:10" x14ac:dyDescent="0.2">
      <c r="G149"/>
      <c r="H149" s="5"/>
      <c r="I149"/>
      <c r="J149" s="5"/>
    </row>
    <row r="150" spans="4:10" x14ac:dyDescent="0.2">
      <c r="G150"/>
      <c r="H150" s="5"/>
      <c r="I150"/>
      <c r="J150" s="5"/>
    </row>
    <row r="151" spans="4:10" x14ac:dyDescent="0.2">
      <c r="G151"/>
      <c r="H151" s="5"/>
      <c r="I151"/>
      <c r="J151" s="5"/>
    </row>
    <row r="152" spans="4:10" x14ac:dyDescent="0.2">
      <c r="G152"/>
      <c r="H152" s="5"/>
      <c r="I152"/>
      <c r="J152" s="5"/>
    </row>
    <row r="153" spans="4:10" x14ac:dyDescent="0.2">
      <c r="G153"/>
      <c r="H153" s="5"/>
      <c r="I153"/>
      <c r="J153" s="5"/>
    </row>
    <row r="154" spans="4:10" x14ac:dyDescent="0.2">
      <c r="G154"/>
      <c r="H154" s="5"/>
      <c r="I154"/>
      <c r="J154" s="5"/>
    </row>
    <row r="155" spans="4:10" x14ac:dyDescent="0.2">
      <c r="G155"/>
      <c r="H155" s="5"/>
      <c r="I155"/>
      <c r="J155" s="5"/>
    </row>
    <row r="156" spans="4:10" x14ac:dyDescent="0.2">
      <c r="G156"/>
      <c r="H156" s="5"/>
      <c r="I156"/>
      <c r="J156" s="5"/>
    </row>
    <row r="158" spans="4:10" x14ac:dyDescent="0.2">
      <c r="D158" s="5"/>
      <c r="G158"/>
    </row>
  </sheetData>
  <mergeCells count="4">
    <mergeCell ref="B23:C23"/>
    <mergeCell ref="B33:C33"/>
    <mergeCell ref="B41:C41"/>
    <mergeCell ref="B49:C49"/>
  </mergeCells>
  <pageMargins left="0.25" right="0.25" top="0.75" bottom="0.75" header="0.3" footer="0.3"/>
  <pageSetup paperSize="9" scale="55" fitToWidth="0" orientation="landscape" r:id="rId1"/>
  <ignoredErrors>
    <ignoredError sqref="D2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92D050"/>
  </sheetPr>
  <dimension ref="A1:I45"/>
  <sheetViews>
    <sheetView topLeftCell="A18" zoomScale="120" zoomScaleNormal="120" workbookViewId="0">
      <selection activeCell="G34" sqref="G34"/>
    </sheetView>
  </sheetViews>
  <sheetFormatPr defaultRowHeight="12.75" x14ac:dyDescent="0.2"/>
  <cols>
    <col min="1" max="1" width="6.140625" customWidth="1"/>
    <col min="3" max="3" width="39.5703125" customWidth="1"/>
    <col min="4" max="4" width="17.42578125" style="5" customWidth="1"/>
    <col min="5" max="5" width="22.28515625" style="5" customWidth="1"/>
    <col min="6" max="6" width="19.85546875" bestFit="1" customWidth="1"/>
    <col min="9" max="9" width="11.28515625" bestFit="1" customWidth="1"/>
  </cols>
  <sheetData>
    <row r="1" spans="1:6" x14ac:dyDescent="0.2">
      <c r="B1" s="20" t="s">
        <v>2</v>
      </c>
      <c r="C1" s="21"/>
      <c r="D1"/>
      <c r="E1"/>
    </row>
    <row r="2" spans="1:6" x14ac:dyDescent="0.2">
      <c r="B2" s="20" t="s">
        <v>67</v>
      </c>
      <c r="C2" s="21"/>
      <c r="D2"/>
      <c r="E2"/>
    </row>
    <row r="3" spans="1:6" x14ac:dyDescent="0.2">
      <c r="B3" s="20" t="s">
        <v>68</v>
      </c>
      <c r="C3" s="21"/>
      <c r="D3"/>
      <c r="E3"/>
    </row>
    <row r="4" spans="1:6" x14ac:dyDescent="0.2">
      <c r="B4" s="20"/>
      <c r="C4" s="21"/>
      <c r="D4"/>
      <c r="E4"/>
    </row>
    <row r="5" spans="1:6" ht="18" x14ac:dyDescent="0.25">
      <c r="B5" s="22" t="s">
        <v>170</v>
      </c>
      <c r="C5" s="21"/>
      <c r="D5"/>
      <c r="E5" s="177" t="s">
        <v>98</v>
      </c>
    </row>
    <row r="6" spans="1:6" x14ac:dyDescent="0.2">
      <c r="B6" s="20"/>
      <c r="C6" s="21"/>
      <c r="D6"/>
      <c r="E6"/>
    </row>
    <row r="7" spans="1:6" ht="16.5" x14ac:dyDescent="0.25">
      <c r="B7" s="49" t="s">
        <v>137</v>
      </c>
      <c r="D7"/>
      <c r="E7"/>
    </row>
    <row r="8" spans="1:6" x14ac:dyDescent="0.2">
      <c r="D8" s="77"/>
      <c r="E8" s="77"/>
    </row>
    <row r="9" spans="1:6" x14ac:dyDescent="0.2">
      <c r="D9" s="77"/>
      <c r="E9" s="77"/>
    </row>
    <row r="10" spans="1:6" ht="13.5" thickBot="1" x14ac:dyDescent="0.25">
      <c r="C10" s="18"/>
      <c r="D10" s="78"/>
      <c r="E10" s="79"/>
    </row>
    <row r="11" spans="1:6" ht="23.25" thickBot="1" x14ac:dyDescent="0.25">
      <c r="A11" s="23"/>
      <c r="B11" s="59" t="s">
        <v>184</v>
      </c>
      <c r="C11" s="36" t="s">
        <v>70</v>
      </c>
      <c r="D11" s="50" t="s">
        <v>137</v>
      </c>
      <c r="E11" s="50" t="s">
        <v>165</v>
      </c>
      <c r="F11" s="474" t="s">
        <v>116</v>
      </c>
    </row>
    <row r="12" spans="1:6" x14ac:dyDescent="0.2">
      <c r="A12" s="23"/>
      <c r="B12" s="80"/>
      <c r="C12" s="30"/>
      <c r="D12" s="459"/>
      <c r="E12" s="136"/>
      <c r="F12" s="460"/>
    </row>
    <row r="13" spans="1:6" ht="13.5" thickBot="1" x14ac:dyDescent="0.25">
      <c r="A13" s="23"/>
      <c r="B13" s="467"/>
      <c r="C13" s="468" t="s">
        <v>99</v>
      </c>
      <c r="D13" s="126"/>
      <c r="E13" s="469">
        <v>359837.16</v>
      </c>
      <c r="F13" s="470"/>
    </row>
    <row r="14" spans="1:6" ht="13.5" thickBot="1" x14ac:dyDescent="0.25">
      <c r="A14" s="23"/>
      <c r="B14" s="84">
        <v>3500</v>
      </c>
      <c r="C14" s="471" t="s">
        <v>100</v>
      </c>
      <c r="D14" s="138"/>
      <c r="E14" s="139"/>
      <c r="F14" s="472"/>
    </row>
    <row r="15" spans="1:6" ht="13.5" thickBot="1" x14ac:dyDescent="0.25">
      <c r="A15" s="23"/>
      <c r="B15" s="461"/>
      <c r="C15" s="82"/>
      <c r="D15" s="137"/>
      <c r="E15" s="469"/>
      <c r="F15" s="473"/>
    </row>
    <row r="16" spans="1:6" ht="16.5" thickBot="1" x14ac:dyDescent="0.3">
      <c r="A16" s="23"/>
      <c r="B16" s="84"/>
      <c r="C16" s="83" t="s">
        <v>101</v>
      </c>
      <c r="D16" s="140"/>
      <c r="E16" s="141"/>
      <c r="F16" s="181"/>
    </row>
    <row r="17" spans="1:9" ht="16.5" thickBot="1" x14ac:dyDescent="0.3">
      <c r="A17" s="23"/>
      <c r="B17" s="84"/>
      <c r="C17" s="83" t="s">
        <v>102</v>
      </c>
      <c r="D17" s="140"/>
      <c r="E17" s="141">
        <f>E13+E16</f>
        <v>359837.16</v>
      </c>
      <c r="F17" s="122">
        <f>+F16</f>
        <v>0</v>
      </c>
    </row>
    <row r="18" spans="1:9" x14ac:dyDescent="0.2">
      <c r="D18" s="133"/>
      <c r="E18" s="133"/>
    </row>
    <row r="19" spans="1:9" ht="13.5" thickBot="1" x14ac:dyDescent="0.25">
      <c r="B19" s="18"/>
      <c r="D19" s="142"/>
      <c r="E19" s="143"/>
    </row>
    <row r="20" spans="1:9" ht="23.25" thickBot="1" x14ac:dyDescent="0.25">
      <c r="A20" s="23"/>
      <c r="B20" s="59" t="s">
        <v>184</v>
      </c>
      <c r="C20" s="37" t="s">
        <v>72</v>
      </c>
      <c r="D20" s="135" t="s">
        <v>137</v>
      </c>
      <c r="E20" s="135" t="s">
        <v>165</v>
      </c>
      <c r="F20" s="475" t="s">
        <v>352</v>
      </c>
    </row>
    <row r="21" spans="1:9" ht="13.5" thickBot="1" x14ac:dyDescent="0.25">
      <c r="A21" s="23"/>
      <c r="B21" s="84"/>
      <c r="C21" s="85" t="s">
        <v>103</v>
      </c>
      <c r="D21" s="138"/>
      <c r="E21" s="139">
        <v>377837.06</v>
      </c>
      <c r="F21" s="458"/>
    </row>
    <row r="22" spans="1:9" x14ac:dyDescent="0.2">
      <c r="A22" s="23"/>
      <c r="B22" s="451">
        <v>3501</v>
      </c>
      <c r="C22" s="88" t="s">
        <v>77</v>
      </c>
      <c r="D22" s="134">
        <v>22600</v>
      </c>
      <c r="E22" s="144">
        <v>24333.91</v>
      </c>
      <c r="F22" s="465">
        <f>+E22/D22*100</f>
        <v>107.67216814159293</v>
      </c>
      <c r="I22" s="133"/>
    </row>
    <row r="23" spans="1:9" x14ac:dyDescent="0.2">
      <c r="A23" s="23"/>
      <c r="B23" s="87">
        <v>3502</v>
      </c>
      <c r="C23" s="89" t="s">
        <v>123</v>
      </c>
      <c r="D23" s="126">
        <v>0</v>
      </c>
      <c r="E23" s="145"/>
      <c r="F23" s="465"/>
    </row>
    <row r="24" spans="1:9" x14ac:dyDescent="0.2">
      <c r="A24" s="23"/>
      <c r="B24" s="87">
        <v>3503</v>
      </c>
      <c r="C24" s="90" t="s">
        <v>104</v>
      </c>
      <c r="D24" s="125">
        <v>2100</v>
      </c>
      <c r="E24" s="131">
        <v>1780.99</v>
      </c>
      <c r="F24" s="465">
        <f>+E24/D24*100</f>
        <v>84.809047619047618</v>
      </c>
    </row>
    <row r="25" spans="1:9" x14ac:dyDescent="0.2">
      <c r="A25" s="23"/>
      <c r="B25" s="87">
        <v>3504</v>
      </c>
      <c r="C25" s="90" t="s">
        <v>105</v>
      </c>
      <c r="D25" s="125">
        <v>600</v>
      </c>
      <c r="E25" s="131"/>
      <c r="F25" s="465">
        <f t="shared" ref="F25" si="0">E25/D25</f>
        <v>0</v>
      </c>
    </row>
    <row r="26" spans="1:9" x14ac:dyDescent="0.2">
      <c r="A26" s="23"/>
      <c r="B26" s="87">
        <v>3505</v>
      </c>
      <c r="C26" s="3" t="s">
        <v>106</v>
      </c>
      <c r="D26" s="125"/>
      <c r="E26" s="131"/>
      <c r="F26" s="465"/>
    </row>
    <row r="27" spans="1:9" ht="13.5" thickBot="1" x14ac:dyDescent="0.25">
      <c r="A27" s="23"/>
      <c r="B27" s="461">
        <v>3506</v>
      </c>
      <c r="C27" s="462" t="s">
        <v>107</v>
      </c>
      <c r="D27" s="463"/>
      <c r="E27" s="464">
        <v>3699.39</v>
      </c>
      <c r="F27" s="466"/>
    </row>
    <row r="28" spans="1:9" ht="13.5" thickBot="1" x14ac:dyDescent="0.25">
      <c r="A28" s="23"/>
      <c r="B28" s="84"/>
      <c r="C28" s="91" t="s">
        <v>108</v>
      </c>
      <c r="D28" s="138">
        <f>SUM(D22:D27)</f>
        <v>25300</v>
      </c>
      <c r="E28" s="139">
        <f>SUM(E22:E27)</f>
        <v>29814.29</v>
      </c>
      <c r="F28" s="458">
        <f>+E28/D28*100</f>
        <v>117.84304347826087</v>
      </c>
    </row>
    <row r="29" spans="1:9" ht="13.5" thickBot="1" x14ac:dyDescent="0.25">
      <c r="A29" s="23"/>
      <c r="B29" s="81"/>
      <c r="C29" s="189" t="s">
        <v>109</v>
      </c>
      <c r="D29" s="148">
        <v>0</v>
      </c>
      <c r="E29" s="174">
        <f>+E21+E28</f>
        <v>407651.35</v>
      </c>
      <c r="F29" s="190" t="s">
        <v>115</v>
      </c>
    </row>
    <row r="30" spans="1:9" x14ac:dyDescent="0.2">
      <c r="D30" s="133"/>
      <c r="E30" s="133"/>
      <c r="F30" s="86"/>
    </row>
    <row r="31" spans="1:9" x14ac:dyDescent="0.2">
      <c r="B31" t="s">
        <v>358</v>
      </c>
      <c r="C31" s="1" t="s">
        <v>359</v>
      </c>
      <c r="D31" s="132"/>
      <c r="E31" s="132"/>
      <c r="F31" s="86"/>
    </row>
    <row r="32" spans="1:9" x14ac:dyDescent="0.2">
      <c r="C32" t="s">
        <v>360</v>
      </c>
      <c r="F32" s="86"/>
    </row>
    <row r="33" spans="3:6" x14ac:dyDescent="0.2">
      <c r="F33" s="86"/>
    </row>
    <row r="36" spans="3:6" ht="15.75" x14ac:dyDescent="0.25">
      <c r="C36" s="92" t="s">
        <v>110</v>
      </c>
    </row>
    <row r="37" spans="3:6" ht="13.5" thickBot="1" x14ac:dyDescent="0.25">
      <c r="D37" s="78" t="s">
        <v>96</v>
      </c>
      <c r="E37" s="78"/>
    </row>
    <row r="38" spans="3:6" ht="16.5" thickBot="1" x14ac:dyDescent="0.3">
      <c r="C38" s="93" t="s">
        <v>284</v>
      </c>
      <c r="D38" s="146">
        <v>837207.52</v>
      </c>
      <c r="E38" s="94"/>
    </row>
    <row r="39" spans="3:6" x14ac:dyDescent="0.2">
      <c r="D39" s="133"/>
    </row>
    <row r="40" spans="3:6" ht="13.5" thickBot="1" x14ac:dyDescent="0.25">
      <c r="D40" s="133"/>
    </row>
    <row r="41" spans="3:6" ht="16.5" thickBot="1" x14ac:dyDescent="0.3">
      <c r="C41" s="122" t="s">
        <v>355</v>
      </c>
      <c r="D41" s="546">
        <v>225860.28</v>
      </c>
    </row>
    <row r="42" spans="3:6" ht="15.75" thickBot="1" x14ac:dyDescent="0.25">
      <c r="C42" s="122" t="s">
        <v>124</v>
      </c>
      <c r="D42" s="147">
        <v>237644.15</v>
      </c>
    </row>
    <row r="43" spans="3:6" ht="15.75" thickBot="1" x14ac:dyDescent="0.25">
      <c r="C43" s="548" t="s">
        <v>135</v>
      </c>
      <c r="D43" s="547">
        <v>350000</v>
      </c>
    </row>
    <row r="44" spans="3:6" ht="13.5" thickBot="1" x14ac:dyDescent="0.25">
      <c r="C44" s="549" t="s">
        <v>356</v>
      </c>
      <c r="D44" s="545">
        <v>84.07</v>
      </c>
    </row>
    <row r="45" spans="3:6" ht="16.5" thickBot="1" x14ac:dyDescent="0.3">
      <c r="C45" s="550" t="s">
        <v>357</v>
      </c>
      <c r="D45" s="544">
        <f>SUM(D41:D44)</f>
        <v>813588.49999999988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rgb="FF92D050"/>
  </sheetPr>
  <dimension ref="A1:J35"/>
  <sheetViews>
    <sheetView zoomScale="120" zoomScaleNormal="120" workbookViewId="0">
      <selection activeCell="F24" sqref="F24"/>
    </sheetView>
  </sheetViews>
  <sheetFormatPr defaultRowHeight="12.75" x14ac:dyDescent="0.2"/>
  <cols>
    <col min="1" max="1" width="4.42578125" customWidth="1"/>
    <col min="2" max="2" width="7.5703125" customWidth="1"/>
    <col min="3" max="3" width="51.42578125" customWidth="1"/>
    <col min="4" max="4" width="22.140625" bestFit="1" customWidth="1"/>
    <col min="5" max="5" width="18" bestFit="1" customWidth="1"/>
    <col min="6" max="6" width="17.42578125" customWidth="1"/>
    <col min="7" max="7" width="11.28515625" bestFit="1" customWidth="1"/>
  </cols>
  <sheetData>
    <row r="1" spans="1:10" x14ac:dyDescent="0.2">
      <c r="B1" s="20" t="s">
        <v>2</v>
      </c>
      <c r="C1" s="21"/>
    </row>
    <row r="2" spans="1:10" x14ac:dyDescent="0.2">
      <c r="B2" s="20" t="s">
        <v>67</v>
      </c>
      <c r="C2" s="21"/>
    </row>
    <row r="3" spans="1:10" x14ac:dyDescent="0.2">
      <c r="B3" s="20" t="s">
        <v>68</v>
      </c>
      <c r="C3" s="21"/>
    </row>
    <row r="4" spans="1:10" x14ac:dyDescent="0.2">
      <c r="B4" s="20"/>
      <c r="C4" s="21"/>
    </row>
    <row r="5" spans="1:10" ht="18" x14ac:dyDescent="0.25">
      <c r="B5" s="22" t="s">
        <v>76</v>
      </c>
      <c r="C5" s="21"/>
      <c r="E5" s="177" t="s">
        <v>75</v>
      </c>
    </row>
    <row r="6" spans="1:10" x14ac:dyDescent="0.2">
      <c r="B6" s="20"/>
      <c r="C6" s="21"/>
    </row>
    <row r="7" spans="1:10" ht="16.5" x14ac:dyDescent="0.25">
      <c r="B7" s="49" t="s">
        <v>137</v>
      </c>
    </row>
    <row r="8" spans="1:10" x14ac:dyDescent="0.2">
      <c r="B8" s="20" t="s">
        <v>185</v>
      </c>
    </row>
    <row r="9" spans="1:10" ht="13.5" thickBot="1" x14ac:dyDescent="0.25">
      <c r="D9" s="18"/>
    </row>
    <row r="10" spans="1:10" ht="28.9" customHeight="1" thickBot="1" x14ac:dyDescent="0.25">
      <c r="A10" s="23"/>
      <c r="B10" s="59" t="s">
        <v>184</v>
      </c>
      <c r="C10" s="166" t="s">
        <v>70</v>
      </c>
      <c r="D10" s="193" t="s">
        <v>137</v>
      </c>
      <c r="E10" s="193" t="s">
        <v>165</v>
      </c>
      <c r="F10" s="194" t="s">
        <v>116</v>
      </c>
    </row>
    <row r="11" spans="1:10" ht="15" x14ac:dyDescent="0.2">
      <c r="A11" s="23"/>
      <c r="B11" s="191">
        <v>3017</v>
      </c>
      <c r="C11" s="109" t="s">
        <v>201</v>
      </c>
      <c r="D11" s="195">
        <v>22000</v>
      </c>
      <c r="E11" s="195">
        <v>27545.599999999999</v>
      </c>
      <c r="F11" s="196">
        <f>E11/D11*100</f>
        <v>125.20727272727272</v>
      </c>
      <c r="G11" s="128"/>
      <c r="H11" s="56"/>
      <c r="I11" s="56"/>
      <c r="J11" s="56"/>
    </row>
    <row r="12" spans="1:10" ht="15.75" x14ac:dyDescent="0.25">
      <c r="A12" s="23"/>
      <c r="B12" s="102"/>
      <c r="C12" s="110"/>
      <c r="D12" s="153"/>
      <c r="E12" s="197"/>
      <c r="F12" s="198"/>
      <c r="G12" s="56"/>
      <c r="H12" s="56"/>
      <c r="I12" s="56"/>
      <c r="J12" s="56"/>
    </row>
    <row r="13" spans="1:10" ht="15.75" thickBot="1" x14ac:dyDescent="0.25">
      <c r="A13" s="23"/>
      <c r="B13" s="199"/>
      <c r="C13" s="200"/>
      <c r="D13" s="154"/>
      <c r="E13" s="201"/>
      <c r="F13" s="202"/>
    </row>
    <row r="14" spans="1:10" ht="16.5" thickBot="1" x14ac:dyDescent="0.3">
      <c r="A14" s="23"/>
      <c r="B14" s="199"/>
      <c r="C14" s="203" t="s">
        <v>71</v>
      </c>
      <c r="D14" s="152">
        <f>SUM(D11:D13)</f>
        <v>22000</v>
      </c>
      <c r="E14" s="204">
        <f>SUM(E11:E13)</f>
        <v>27545.599999999999</v>
      </c>
      <c r="F14" s="205">
        <f>E14/D14*100</f>
        <v>125.20727272727272</v>
      </c>
    </row>
    <row r="17" spans="1:6" ht="13.5" thickBot="1" x14ac:dyDescent="0.25">
      <c r="D17" s="18"/>
      <c r="E17" s="18"/>
    </row>
    <row r="18" spans="1:6" ht="32.25" thickBot="1" x14ac:dyDescent="0.25">
      <c r="A18" s="23"/>
      <c r="B18" s="165" t="s">
        <v>184</v>
      </c>
      <c r="C18" s="254" t="s">
        <v>72</v>
      </c>
      <c r="D18" s="113" t="s">
        <v>137</v>
      </c>
      <c r="E18" s="193" t="s">
        <v>165</v>
      </c>
      <c r="F18" s="194" t="s">
        <v>116</v>
      </c>
    </row>
    <row r="19" spans="1:6" ht="15" x14ac:dyDescent="0.2">
      <c r="B19" s="191">
        <v>3090</v>
      </c>
      <c r="C19" s="109" t="s">
        <v>77</v>
      </c>
      <c r="D19" s="215">
        <v>5600</v>
      </c>
      <c r="E19" s="215">
        <v>3638.79</v>
      </c>
      <c r="F19" s="250">
        <f>E19/D19*100</f>
        <v>64.97839285714285</v>
      </c>
    </row>
    <row r="20" spans="1:6" ht="15" x14ac:dyDescent="0.2">
      <c r="B20" s="102">
        <v>3091</v>
      </c>
      <c r="C20" s="110" t="s">
        <v>195</v>
      </c>
      <c r="D20" s="150">
        <v>2300</v>
      </c>
      <c r="E20" s="150">
        <v>84.17</v>
      </c>
      <c r="F20" s="251">
        <f t="shared" ref="F20:F30" si="0">E20/D20*100</f>
        <v>3.6595652173913042</v>
      </c>
    </row>
    <row r="21" spans="1:6" ht="15" x14ac:dyDescent="0.2">
      <c r="B21" s="102">
        <v>3092</v>
      </c>
      <c r="C21" s="110" t="s">
        <v>166</v>
      </c>
      <c r="D21" s="150">
        <v>0</v>
      </c>
      <c r="E21" s="150"/>
      <c r="F21" s="251"/>
    </row>
    <row r="22" spans="1:6" ht="15" x14ac:dyDescent="0.2">
      <c r="B22" s="102">
        <v>3093</v>
      </c>
      <c r="C22" s="110" t="s">
        <v>78</v>
      </c>
      <c r="D22" s="150">
        <v>556.47</v>
      </c>
      <c r="E22" s="150">
        <v>434.26</v>
      </c>
      <c r="F22" s="251">
        <f t="shared" si="0"/>
        <v>78.038348877747225</v>
      </c>
    </row>
    <row r="23" spans="1:6" ht="15" x14ac:dyDescent="0.2">
      <c r="B23" s="102">
        <v>3094</v>
      </c>
      <c r="C23" s="110" t="s">
        <v>79</v>
      </c>
      <c r="D23" s="150">
        <v>0</v>
      </c>
      <c r="E23" s="150">
        <v>5082.71</v>
      </c>
      <c r="F23" s="251"/>
    </row>
    <row r="24" spans="1:6" ht="15" x14ac:dyDescent="0.2">
      <c r="B24" s="102">
        <v>3095</v>
      </c>
      <c r="C24" s="110" t="s">
        <v>80</v>
      </c>
      <c r="D24" s="150">
        <v>6600</v>
      </c>
      <c r="E24" s="150">
        <v>5580.17</v>
      </c>
      <c r="F24" s="251">
        <f t="shared" si="0"/>
        <v>84.548030303030302</v>
      </c>
    </row>
    <row r="25" spans="1:6" ht="15" x14ac:dyDescent="0.2">
      <c r="B25" s="102">
        <v>3096</v>
      </c>
      <c r="C25" s="110" t="s">
        <v>167</v>
      </c>
      <c r="D25" s="150">
        <v>0</v>
      </c>
      <c r="E25" s="150">
        <v>8223.14</v>
      </c>
      <c r="F25" s="251"/>
    </row>
    <row r="26" spans="1:6" ht="15" x14ac:dyDescent="0.2">
      <c r="B26" s="102">
        <v>3097</v>
      </c>
      <c r="C26" s="110" t="s">
        <v>81</v>
      </c>
      <c r="D26" s="150">
        <v>1000</v>
      </c>
      <c r="E26" s="150">
        <v>800</v>
      </c>
      <c r="F26" s="251">
        <f t="shared" si="0"/>
        <v>80</v>
      </c>
    </row>
    <row r="27" spans="1:6" ht="15" x14ac:dyDescent="0.2">
      <c r="B27" s="102">
        <v>3098</v>
      </c>
      <c r="C27" s="110" t="s">
        <v>82</v>
      </c>
      <c r="D27" s="150">
        <v>0</v>
      </c>
      <c r="E27" s="150"/>
      <c r="F27" s="251"/>
    </row>
    <row r="28" spans="1:6" ht="15" x14ac:dyDescent="0.2">
      <c r="B28" s="102">
        <v>3099</v>
      </c>
      <c r="C28" s="110" t="s">
        <v>83</v>
      </c>
      <c r="D28" s="150">
        <v>5543.5299999999988</v>
      </c>
      <c r="E28" s="150">
        <v>5053.8500000000004</v>
      </c>
      <c r="F28" s="251">
        <f t="shared" si="0"/>
        <v>91.166639307444925</v>
      </c>
    </row>
    <row r="29" spans="1:6" ht="15.75" thickBot="1" x14ac:dyDescent="0.25">
      <c r="B29" s="218">
        <v>3101</v>
      </c>
      <c r="C29" s="219" t="s">
        <v>84</v>
      </c>
      <c r="D29" s="201">
        <v>400</v>
      </c>
      <c r="E29" s="201"/>
      <c r="F29" s="252">
        <f t="shared" si="0"/>
        <v>0</v>
      </c>
    </row>
    <row r="30" spans="1:6" ht="16.5" thickBot="1" x14ac:dyDescent="0.3">
      <c r="B30" s="212"/>
      <c r="C30" s="119" t="s">
        <v>73</v>
      </c>
      <c r="D30" s="149">
        <f>SUM(D19:D29)</f>
        <v>22000</v>
      </c>
      <c r="E30" s="155">
        <f>SUM(E19:E29)</f>
        <v>28897.089999999997</v>
      </c>
      <c r="F30" s="253">
        <f t="shared" si="0"/>
        <v>131.35040909090907</v>
      </c>
    </row>
    <row r="31" spans="1:6" x14ac:dyDescent="0.2">
      <c r="C31" s="62"/>
      <c r="E31" s="31"/>
    </row>
    <row r="32" spans="1:6" x14ac:dyDescent="0.2">
      <c r="C32" s="16" t="s">
        <v>115</v>
      </c>
      <c r="D32" s="9" t="s">
        <v>115</v>
      </c>
      <c r="E32" s="43"/>
    </row>
    <row r="33" spans="4:5" x14ac:dyDescent="0.2">
      <c r="D33" s="5"/>
      <c r="E33" s="32"/>
    </row>
    <row r="34" spans="4:5" x14ac:dyDescent="0.2">
      <c r="D34" s="31"/>
    </row>
    <row r="35" spans="4:5" x14ac:dyDescent="0.2">
      <c r="D35" s="5"/>
      <c r="E35" s="3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topLeftCell="A11" zoomScale="120" zoomScaleNormal="120" workbookViewId="0">
      <selection activeCell="L27" sqref="L27"/>
    </sheetView>
  </sheetViews>
  <sheetFormatPr defaultRowHeight="12.75" x14ac:dyDescent="0.2"/>
  <cols>
    <col min="1" max="1" width="4.42578125" customWidth="1"/>
    <col min="2" max="2" width="12.28515625" customWidth="1"/>
    <col min="3" max="3" width="51.42578125" customWidth="1"/>
    <col min="4" max="4" width="22.140625" bestFit="1" customWidth="1"/>
    <col min="5" max="5" width="18" bestFit="1" customWidth="1"/>
    <col min="6" max="6" width="17.42578125" customWidth="1"/>
    <col min="7" max="7" width="11.28515625" bestFit="1" customWidth="1"/>
  </cols>
  <sheetData>
    <row r="1" spans="1:10" x14ac:dyDescent="0.2">
      <c r="B1" s="20" t="s">
        <v>2</v>
      </c>
      <c r="C1" s="21"/>
    </row>
    <row r="2" spans="1:10" x14ac:dyDescent="0.2">
      <c r="B2" s="20" t="s">
        <v>67</v>
      </c>
      <c r="C2" s="21"/>
    </row>
    <row r="3" spans="1:10" x14ac:dyDescent="0.2">
      <c r="B3" s="20" t="s">
        <v>68</v>
      </c>
      <c r="C3" s="21"/>
    </row>
    <row r="4" spans="1:10" x14ac:dyDescent="0.2">
      <c r="B4" s="20"/>
      <c r="C4" s="21"/>
    </row>
    <row r="5" spans="1:10" ht="18" x14ac:dyDescent="0.25">
      <c r="B5" s="22" t="s">
        <v>199</v>
      </c>
      <c r="C5" s="21"/>
      <c r="E5" s="177" t="s">
        <v>196</v>
      </c>
    </row>
    <row r="6" spans="1:10" x14ac:dyDescent="0.2">
      <c r="B6" s="20"/>
      <c r="C6" s="21"/>
    </row>
    <row r="7" spans="1:10" ht="16.5" x14ac:dyDescent="0.25">
      <c r="B7" s="49" t="s">
        <v>137</v>
      </c>
    </row>
    <row r="8" spans="1:10" x14ac:dyDescent="0.2">
      <c r="B8" s="20" t="s">
        <v>197</v>
      </c>
    </row>
    <row r="9" spans="1:10" x14ac:dyDescent="0.2">
      <c r="B9" s="20" t="s">
        <v>198</v>
      </c>
    </row>
    <row r="10" spans="1:10" ht="13.5" thickBot="1" x14ac:dyDescent="0.25">
      <c r="D10" s="18"/>
    </row>
    <row r="11" spans="1:10" ht="28.9" customHeight="1" thickBot="1" x14ac:dyDescent="0.25">
      <c r="A11" s="23"/>
      <c r="B11" s="59" t="s">
        <v>184</v>
      </c>
      <c r="C11" s="166" t="s">
        <v>70</v>
      </c>
      <c r="D11" s="193" t="s">
        <v>137</v>
      </c>
      <c r="E11" s="193" t="s">
        <v>165</v>
      </c>
      <c r="F11" s="194" t="s">
        <v>352</v>
      </c>
    </row>
    <row r="12" spans="1:10" ht="15" x14ac:dyDescent="0.2">
      <c r="A12" s="23"/>
      <c r="B12" s="191">
        <v>3010</v>
      </c>
      <c r="C12" s="109" t="s">
        <v>279</v>
      </c>
      <c r="D12" s="195">
        <v>238900</v>
      </c>
      <c r="E12" s="195">
        <v>231475.06</v>
      </c>
      <c r="F12" s="196">
        <f>E12/D12*100</f>
        <v>96.892030138133109</v>
      </c>
      <c r="G12" s="128"/>
      <c r="H12" s="56"/>
      <c r="I12" s="56"/>
      <c r="J12" s="56"/>
    </row>
    <row r="13" spans="1:10" ht="15.75" x14ac:dyDescent="0.25">
      <c r="A13" s="23"/>
      <c r="B13" s="102"/>
      <c r="C13" s="110"/>
      <c r="D13" s="153"/>
      <c r="E13" s="197"/>
      <c r="F13" s="198"/>
      <c r="G13" s="56"/>
      <c r="H13" s="56"/>
      <c r="I13" s="56"/>
      <c r="J13" s="56"/>
    </row>
    <row r="14" spans="1:10" ht="15.75" thickBot="1" x14ac:dyDescent="0.25">
      <c r="A14" s="23"/>
      <c r="B14" s="199"/>
      <c r="C14" s="200"/>
      <c r="D14" s="154"/>
      <c r="E14" s="201"/>
      <c r="F14" s="202"/>
    </row>
    <row r="15" spans="1:10" ht="16.5" thickBot="1" x14ac:dyDescent="0.3">
      <c r="A15" s="23"/>
      <c r="B15" s="199"/>
      <c r="C15" s="203" t="s">
        <v>71</v>
      </c>
      <c r="D15" s="152">
        <f>SUM(D12:D14)</f>
        <v>238900</v>
      </c>
      <c r="E15" s="204">
        <f>SUM(E12:E14)</f>
        <v>231475.06</v>
      </c>
      <c r="F15" s="205">
        <f>E15/D15*100</f>
        <v>96.892030138133109</v>
      </c>
    </row>
    <row r="18" spans="1:6" ht="13.5" thickBot="1" x14ac:dyDescent="0.25">
      <c r="D18" s="18"/>
      <c r="E18" s="18"/>
    </row>
    <row r="19" spans="1:6" ht="32.25" thickBot="1" x14ac:dyDescent="0.25">
      <c r="A19" s="23"/>
      <c r="B19" s="165" t="s">
        <v>184</v>
      </c>
      <c r="C19" s="254" t="s">
        <v>72</v>
      </c>
      <c r="D19" s="113" t="s">
        <v>137</v>
      </c>
      <c r="E19" s="193" t="s">
        <v>165</v>
      </c>
      <c r="F19" s="194" t="s">
        <v>352</v>
      </c>
    </row>
    <row r="20" spans="1:6" ht="15" x14ac:dyDescent="0.2">
      <c r="B20" s="191">
        <v>3050</v>
      </c>
      <c r="C20" s="109" t="s">
        <v>161</v>
      </c>
      <c r="D20" s="416">
        <v>92000</v>
      </c>
      <c r="E20" s="533">
        <v>92000</v>
      </c>
      <c r="F20" s="250">
        <f>E20/D20*100</f>
        <v>100</v>
      </c>
    </row>
    <row r="21" spans="1:6" ht="15" x14ac:dyDescent="0.2">
      <c r="B21" s="102">
        <v>3061</v>
      </c>
      <c r="C21" s="110" t="s">
        <v>7</v>
      </c>
      <c r="D21" s="153">
        <v>10000</v>
      </c>
      <c r="E21" s="534">
        <v>10000</v>
      </c>
      <c r="F21" s="251">
        <f t="shared" ref="F21:F38" si="0">E21/D21*100</f>
        <v>100</v>
      </c>
    </row>
    <row r="22" spans="1:6" ht="15" x14ac:dyDescent="0.2">
      <c r="B22" s="102">
        <v>3063</v>
      </c>
      <c r="C22" s="110" t="s">
        <v>131</v>
      </c>
      <c r="D22" s="153">
        <v>6400</v>
      </c>
      <c r="E22" s="534">
        <v>6302.5</v>
      </c>
      <c r="F22" s="251">
        <f t="shared" si="0"/>
        <v>98.4765625</v>
      </c>
    </row>
    <row r="23" spans="1:6" ht="15" x14ac:dyDescent="0.2">
      <c r="B23" s="102">
        <v>3070</v>
      </c>
      <c r="C23" s="110" t="s">
        <v>129</v>
      </c>
      <c r="D23" s="153">
        <v>18000</v>
      </c>
      <c r="E23" s="534">
        <v>24732.5</v>
      </c>
      <c r="F23" s="251">
        <f t="shared" si="0"/>
        <v>137.40277777777777</v>
      </c>
    </row>
    <row r="24" spans="1:6" ht="15" x14ac:dyDescent="0.2">
      <c r="B24" s="102">
        <v>3071</v>
      </c>
      <c r="C24" s="110" t="s">
        <v>128</v>
      </c>
      <c r="D24" s="153">
        <v>12000</v>
      </c>
      <c r="E24" s="534">
        <v>7247.55</v>
      </c>
      <c r="F24" s="251">
        <f t="shared" si="0"/>
        <v>60.396250000000009</v>
      </c>
    </row>
    <row r="25" spans="1:6" ht="15" x14ac:dyDescent="0.2">
      <c r="B25" s="102">
        <v>3053</v>
      </c>
      <c r="C25" s="110" t="s">
        <v>151</v>
      </c>
      <c r="D25" s="153">
        <v>0</v>
      </c>
      <c r="E25" s="534"/>
      <c r="F25" s="251"/>
    </row>
    <row r="26" spans="1:6" ht="15" x14ac:dyDescent="0.2">
      <c r="B26" s="102">
        <v>3080</v>
      </c>
      <c r="C26" s="110" t="s">
        <v>152</v>
      </c>
      <c r="D26" s="153">
        <v>10500</v>
      </c>
      <c r="E26" s="534">
        <v>13105.38</v>
      </c>
      <c r="F26" s="251">
        <f t="shared" si="0"/>
        <v>124.81314285714285</v>
      </c>
    </row>
    <row r="27" spans="1:6" ht="15" x14ac:dyDescent="0.2">
      <c r="B27" s="102">
        <v>3081</v>
      </c>
      <c r="C27" s="110" t="s">
        <v>153</v>
      </c>
      <c r="D27" s="153">
        <v>4000</v>
      </c>
      <c r="E27" s="534">
        <v>4231.8</v>
      </c>
      <c r="F27" s="251">
        <f t="shared" si="0"/>
        <v>105.79499999999999</v>
      </c>
    </row>
    <row r="28" spans="1:6" ht="15" x14ac:dyDescent="0.2">
      <c r="B28" s="102">
        <v>3082</v>
      </c>
      <c r="C28" s="110" t="s">
        <v>154</v>
      </c>
      <c r="D28" s="153">
        <v>10000</v>
      </c>
      <c r="E28" s="534">
        <v>5000</v>
      </c>
      <c r="F28" s="251">
        <f t="shared" si="0"/>
        <v>50</v>
      </c>
    </row>
    <row r="29" spans="1:6" ht="15" x14ac:dyDescent="0.2">
      <c r="B29" s="102">
        <v>3083</v>
      </c>
      <c r="C29" s="110" t="s">
        <v>155</v>
      </c>
      <c r="D29" s="153">
        <v>7000</v>
      </c>
      <c r="E29" s="534">
        <v>7406.79</v>
      </c>
      <c r="F29" s="251">
        <f t="shared" si="0"/>
        <v>105.8112857142857</v>
      </c>
    </row>
    <row r="30" spans="1:6" ht="15" x14ac:dyDescent="0.2">
      <c r="B30" s="102">
        <v>3085</v>
      </c>
      <c r="C30" s="110" t="s">
        <v>156</v>
      </c>
      <c r="D30" s="153">
        <v>6000</v>
      </c>
      <c r="E30" s="534">
        <v>5999.94</v>
      </c>
      <c r="F30" s="251">
        <f t="shared" si="0"/>
        <v>99.998999999999995</v>
      </c>
    </row>
    <row r="31" spans="1:6" ht="15" x14ac:dyDescent="0.2">
      <c r="B31" s="102">
        <v>3087</v>
      </c>
      <c r="C31" s="110" t="s">
        <v>157</v>
      </c>
      <c r="D31" s="153">
        <v>12000</v>
      </c>
      <c r="E31" s="532">
        <v>8968.81</v>
      </c>
      <c r="F31" s="251">
        <f t="shared" si="0"/>
        <v>74.740083333333331</v>
      </c>
    </row>
    <row r="32" spans="1:6" ht="15" x14ac:dyDescent="0.2">
      <c r="B32" s="102">
        <v>3086</v>
      </c>
      <c r="C32" s="110" t="s">
        <v>92</v>
      </c>
      <c r="D32" s="153">
        <v>0</v>
      </c>
      <c r="E32" s="532"/>
      <c r="F32" s="251"/>
    </row>
    <row r="33" spans="2:6" ht="15" x14ac:dyDescent="0.2">
      <c r="B33" s="102">
        <v>3088</v>
      </c>
      <c r="C33" s="110" t="s">
        <v>60</v>
      </c>
      <c r="D33" s="153">
        <v>3000</v>
      </c>
      <c r="E33" s="532">
        <v>1560.13</v>
      </c>
      <c r="F33" s="251">
        <f t="shared" si="0"/>
        <v>52.004333333333342</v>
      </c>
    </row>
    <row r="34" spans="2:6" ht="15" x14ac:dyDescent="0.2">
      <c r="B34" s="102">
        <v>3052</v>
      </c>
      <c r="C34" s="110" t="s">
        <v>88</v>
      </c>
      <c r="D34" s="153">
        <v>4000</v>
      </c>
      <c r="E34" s="532">
        <v>4960.93</v>
      </c>
      <c r="F34" s="251">
        <f t="shared" si="0"/>
        <v>124.02325</v>
      </c>
    </row>
    <row r="35" spans="2:6" ht="15" x14ac:dyDescent="0.2">
      <c r="B35" s="102">
        <v>3131</v>
      </c>
      <c r="C35" s="110" t="s">
        <v>205</v>
      </c>
      <c r="D35" s="153">
        <v>2000</v>
      </c>
      <c r="E35" s="532">
        <v>3151.84</v>
      </c>
      <c r="F35" s="251">
        <f t="shared" si="0"/>
        <v>157.59199999999998</v>
      </c>
    </row>
    <row r="36" spans="2:6" ht="15" x14ac:dyDescent="0.2">
      <c r="B36" s="102">
        <v>3140</v>
      </c>
      <c r="C36" s="110" t="s">
        <v>125</v>
      </c>
      <c r="D36" s="153">
        <v>40000</v>
      </c>
      <c r="E36" s="532">
        <v>36806.89</v>
      </c>
      <c r="F36" s="251">
        <f t="shared" si="0"/>
        <v>92.017224999999996</v>
      </c>
    </row>
    <row r="37" spans="2:6" ht="15.75" thickBot="1" x14ac:dyDescent="0.25">
      <c r="B37" s="218"/>
      <c r="C37" s="219" t="s">
        <v>204</v>
      </c>
      <c r="D37" s="153">
        <v>2000</v>
      </c>
      <c r="E37" s="201"/>
      <c r="F37" s="252">
        <f t="shared" si="0"/>
        <v>0</v>
      </c>
    </row>
    <row r="38" spans="2:6" ht="16.5" thickBot="1" x14ac:dyDescent="0.3">
      <c r="B38" s="291"/>
      <c r="C38" s="292" t="s">
        <v>220</v>
      </c>
      <c r="D38" s="151">
        <f>SUM(D20:D37)</f>
        <v>238900</v>
      </c>
      <c r="E38" s="535">
        <f>SUM(E20:E37)</f>
        <v>231475.06</v>
      </c>
      <c r="F38" s="293">
        <f t="shared" si="0"/>
        <v>96.892030138133109</v>
      </c>
    </row>
    <row r="39" spans="2:6" ht="15" x14ac:dyDescent="0.2">
      <c r="C39" s="206"/>
      <c r="E39" s="31"/>
    </row>
    <row r="40" spans="2:6" x14ac:dyDescent="0.2">
      <c r="D40" s="9" t="s">
        <v>115</v>
      </c>
      <c r="E40" s="43"/>
    </row>
    <row r="41" spans="2:6" x14ac:dyDescent="0.2">
      <c r="D41" s="5"/>
      <c r="E41" s="32"/>
    </row>
    <row r="42" spans="2:6" ht="15" x14ac:dyDescent="0.2">
      <c r="C42" s="206"/>
      <c r="D42" s="31"/>
    </row>
    <row r="43" spans="2:6" x14ac:dyDescent="0.2">
      <c r="D43" s="5"/>
      <c r="E43" s="31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1:F34"/>
  <sheetViews>
    <sheetView topLeftCell="A16" zoomScale="120" zoomScaleNormal="120" workbookViewId="0">
      <selection activeCell="H21" sqref="H21"/>
    </sheetView>
  </sheetViews>
  <sheetFormatPr defaultRowHeight="12.75" x14ac:dyDescent="0.2"/>
  <cols>
    <col min="1" max="1" width="5.5703125" customWidth="1"/>
    <col min="2" max="2" width="7.5703125" customWidth="1"/>
    <col min="3" max="3" width="57.140625" bestFit="1" customWidth="1"/>
    <col min="4" max="4" width="22.140625" bestFit="1" customWidth="1"/>
    <col min="5" max="5" width="18" bestFit="1" customWidth="1"/>
    <col min="6" max="6" width="17.28515625" customWidth="1"/>
  </cols>
  <sheetData>
    <row r="1" spans="2:6" x14ac:dyDescent="0.2">
      <c r="B1" s="20" t="s">
        <v>2</v>
      </c>
      <c r="C1" s="21"/>
    </row>
    <row r="2" spans="2:6" x14ac:dyDescent="0.2">
      <c r="B2" s="20" t="s">
        <v>67</v>
      </c>
      <c r="C2" s="21"/>
    </row>
    <row r="3" spans="2:6" x14ac:dyDescent="0.2">
      <c r="B3" s="20" t="s">
        <v>68</v>
      </c>
      <c r="C3" s="21"/>
    </row>
    <row r="4" spans="2:6" x14ac:dyDescent="0.2">
      <c r="B4" s="20"/>
      <c r="C4" s="21"/>
    </row>
    <row r="5" spans="2:6" ht="18" x14ac:dyDescent="0.25">
      <c r="B5" s="22" t="s">
        <v>95</v>
      </c>
      <c r="C5" s="21"/>
      <c r="E5" s="22" t="s">
        <v>94</v>
      </c>
    </row>
    <row r="6" spans="2:6" x14ac:dyDescent="0.2">
      <c r="B6" s="20"/>
      <c r="C6" s="21"/>
    </row>
    <row r="7" spans="2:6" ht="16.5" x14ac:dyDescent="0.25">
      <c r="B7" s="49" t="s">
        <v>137</v>
      </c>
    </row>
    <row r="9" spans="2:6" ht="13.5" thickBot="1" x14ac:dyDescent="0.25">
      <c r="E9" s="1"/>
    </row>
    <row r="10" spans="2:6" ht="32.25" thickBot="1" x14ac:dyDescent="0.25">
      <c r="B10" s="244" t="s">
        <v>184</v>
      </c>
      <c r="C10" s="166" t="s">
        <v>70</v>
      </c>
      <c r="D10" s="113" t="s">
        <v>137</v>
      </c>
      <c r="E10" s="113" t="s">
        <v>165</v>
      </c>
      <c r="F10" s="194" t="s">
        <v>116</v>
      </c>
    </row>
    <row r="11" spans="2:6" ht="15" x14ac:dyDescent="0.2">
      <c r="B11" s="191">
        <v>3033</v>
      </c>
      <c r="C11" s="109" t="s">
        <v>38</v>
      </c>
      <c r="D11" s="195">
        <f>35997.63+900</f>
        <v>36897.629999999997</v>
      </c>
      <c r="E11" s="195">
        <v>35997.629999999997</v>
      </c>
      <c r="F11" s="196">
        <f>E11/D11*100</f>
        <v>97.560818946907972</v>
      </c>
    </row>
    <row r="12" spans="2:6" ht="15.75" x14ac:dyDescent="0.25">
      <c r="B12" s="48"/>
      <c r="C12" s="110"/>
      <c r="D12" s="197"/>
      <c r="E12" s="197"/>
      <c r="F12" s="198"/>
    </row>
    <row r="13" spans="2:6" ht="15.75" thickBot="1" x14ac:dyDescent="0.25">
      <c r="B13" s="245"/>
      <c r="C13" s="210"/>
      <c r="D13" s="211"/>
      <c r="E13" s="211"/>
      <c r="F13" s="247"/>
    </row>
    <row r="14" spans="2:6" ht="16.5" thickBot="1" x14ac:dyDescent="0.3">
      <c r="B14" s="212"/>
      <c r="C14" s="248" t="s">
        <v>71</v>
      </c>
      <c r="D14" s="231">
        <f>SUM(D11:D13)</f>
        <v>36897.629999999997</v>
      </c>
      <c r="E14" s="231">
        <v>35997.629999999997</v>
      </c>
      <c r="F14" s="249">
        <f>E14/D14*100</f>
        <v>97.560818946907972</v>
      </c>
    </row>
    <row r="15" spans="2:6" x14ac:dyDescent="0.2">
      <c r="D15" s="133"/>
      <c r="E15" s="133"/>
    </row>
    <row r="16" spans="2:6" x14ac:dyDescent="0.2">
      <c r="D16" s="133"/>
      <c r="E16" s="133"/>
    </row>
    <row r="17" spans="2:6" ht="13.5" thickBot="1" x14ac:dyDescent="0.25">
      <c r="D17" s="133"/>
      <c r="E17" s="133"/>
    </row>
    <row r="18" spans="2:6" ht="32.25" thickBot="1" x14ac:dyDescent="0.25">
      <c r="B18" s="244" t="s">
        <v>69</v>
      </c>
      <c r="C18" s="166" t="s">
        <v>72</v>
      </c>
      <c r="D18" s="113" t="s">
        <v>137</v>
      </c>
      <c r="E18" s="113" t="s">
        <v>165</v>
      </c>
      <c r="F18" s="194" t="s">
        <v>352</v>
      </c>
    </row>
    <row r="19" spans="2:6" ht="15" x14ac:dyDescent="0.2">
      <c r="B19" s="191">
        <v>3181</v>
      </c>
      <c r="C19" s="109" t="s">
        <v>291</v>
      </c>
      <c r="D19" s="215"/>
      <c r="E19" s="215"/>
      <c r="F19" s="246"/>
    </row>
    <row r="20" spans="2:6" ht="15" x14ac:dyDescent="0.2">
      <c r="B20" s="102">
        <v>3182</v>
      </c>
      <c r="C20" s="110" t="s">
        <v>290</v>
      </c>
      <c r="D20" s="150"/>
      <c r="E20" s="150"/>
      <c r="F20" s="198"/>
    </row>
    <row r="21" spans="2:6" ht="15" x14ac:dyDescent="0.2">
      <c r="B21" s="102">
        <v>3184</v>
      </c>
      <c r="C21" s="110" t="s">
        <v>6</v>
      </c>
      <c r="D21" s="150"/>
      <c r="E21" s="150"/>
      <c r="F21" s="198"/>
    </row>
    <row r="22" spans="2:6" ht="15" x14ac:dyDescent="0.2">
      <c r="B22" s="102">
        <v>3185</v>
      </c>
      <c r="C22" s="110" t="s">
        <v>288</v>
      </c>
      <c r="D22" s="150"/>
      <c r="E22" s="150"/>
      <c r="F22" s="198"/>
    </row>
    <row r="23" spans="2:6" ht="15" x14ac:dyDescent="0.2">
      <c r="B23" s="102">
        <v>3151</v>
      </c>
      <c r="C23" s="110" t="s">
        <v>285</v>
      </c>
      <c r="D23" s="153">
        <v>35997.629999999997</v>
      </c>
      <c r="E23" s="150">
        <v>35997.629999999997</v>
      </c>
      <c r="F23" s="198"/>
    </row>
    <row r="24" spans="2:6" ht="15" x14ac:dyDescent="0.2">
      <c r="B24" s="102">
        <v>3200</v>
      </c>
      <c r="C24" s="110" t="s">
        <v>289</v>
      </c>
      <c r="D24" s="150"/>
      <c r="E24" s="150"/>
      <c r="F24" s="198"/>
    </row>
    <row r="25" spans="2:6" ht="15" x14ac:dyDescent="0.2">
      <c r="B25" s="102">
        <v>3202</v>
      </c>
      <c r="C25" s="110" t="s">
        <v>292</v>
      </c>
      <c r="D25" s="150"/>
      <c r="E25" s="150"/>
      <c r="F25" s="198"/>
    </row>
    <row r="26" spans="2:6" ht="15" x14ac:dyDescent="0.2">
      <c r="B26" s="102">
        <v>3203</v>
      </c>
      <c r="C26" s="110" t="s">
        <v>287</v>
      </c>
      <c r="D26" s="150"/>
      <c r="E26" s="150"/>
      <c r="F26" s="198"/>
    </row>
    <row r="27" spans="2:6" ht="15" x14ac:dyDescent="0.2">
      <c r="B27" s="102">
        <v>3205</v>
      </c>
      <c r="C27" s="110" t="s">
        <v>286</v>
      </c>
      <c r="D27" s="150"/>
      <c r="E27" s="150"/>
      <c r="F27" s="198"/>
    </row>
    <row r="28" spans="2:6" ht="15.75" thickBot="1" x14ac:dyDescent="0.25">
      <c r="B28" s="218">
        <v>3206</v>
      </c>
      <c r="C28" s="219" t="s">
        <v>329</v>
      </c>
      <c r="D28" s="201">
        <v>900</v>
      </c>
      <c r="E28" s="201"/>
      <c r="F28" s="202"/>
    </row>
    <row r="29" spans="2:6" ht="16.5" thickBot="1" x14ac:dyDescent="0.3">
      <c r="B29" s="407"/>
      <c r="C29" s="408" t="s">
        <v>73</v>
      </c>
      <c r="D29" s="151">
        <f>SUM(D23:D28)</f>
        <v>36897.629999999997</v>
      </c>
      <c r="E29" s="151">
        <v>35997.629999999997</v>
      </c>
      <c r="F29" s="428">
        <f t="shared" ref="F29" si="0">E29/D29*100</f>
        <v>97.560818946907972</v>
      </c>
    </row>
    <row r="30" spans="2:6" x14ac:dyDescent="0.2">
      <c r="C30" s="62"/>
      <c r="D30" s="31"/>
      <c r="E30" s="31"/>
    </row>
    <row r="31" spans="2:6" x14ac:dyDescent="0.2">
      <c r="C31" s="16" t="s">
        <v>115</v>
      </c>
      <c r="D31" s="43" t="s">
        <v>115</v>
      </c>
      <c r="E31" s="43" t="s">
        <v>115</v>
      </c>
    </row>
    <row r="32" spans="2:6" x14ac:dyDescent="0.2">
      <c r="D32" s="32"/>
      <c r="E32" s="32"/>
    </row>
    <row r="34" spans="4:5" x14ac:dyDescent="0.2">
      <c r="D34" s="31"/>
      <c r="E34" s="31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F27"/>
  <sheetViews>
    <sheetView zoomScale="130" zoomScaleNormal="130" workbookViewId="0">
      <selection activeCell="J27" sqref="J27"/>
    </sheetView>
  </sheetViews>
  <sheetFormatPr defaultRowHeight="12.75" x14ac:dyDescent="0.2"/>
  <cols>
    <col min="1" max="1" width="5.5703125" customWidth="1"/>
    <col min="2" max="2" width="7.5703125" customWidth="1"/>
    <col min="3" max="3" width="37.28515625" bestFit="1" customWidth="1"/>
    <col min="4" max="4" width="17.7109375" customWidth="1"/>
    <col min="5" max="5" width="14" customWidth="1"/>
    <col min="6" max="6" width="13.7109375" customWidth="1"/>
  </cols>
  <sheetData>
    <row r="1" spans="1:6" x14ac:dyDescent="0.2">
      <c r="B1" s="20" t="s">
        <v>2</v>
      </c>
      <c r="C1" s="21"/>
    </row>
    <row r="2" spans="1:6" x14ac:dyDescent="0.2">
      <c r="B2" s="20" t="s">
        <v>67</v>
      </c>
      <c r="C2" s="21"/>
    </row>
    <row r="3" spans="1:6" x14ac:dyDescent="0.2">
      <c r="B3" s="20" t="s">
        <v>68</v>
      </c>
      <c r="C3" s="21"/>
    </row>
    <row r="4" spans="1:6" x14ac:dyDescent="0.2">
      <c r="B4" s="20"/>
      <c r="C4" s="21"/>
    </row>
    <row r="5" spans="1:6" ht="18" x14ac:dyDescent="0.25">
      <c r="B5" s="22" t="s">
        <v>169</v>
      </c>
      <c r="C5" s="21"/>
      <c r="E5" s="22" t="s">
        <v>85</v>
      </c>
    </row>
    <row r="6" spans="1:6" x14ac:dyDescent="0.2">
      <c r="B6" s="20"/>
      <c r="C6" s="21"/>
    </row>
    <row r="7" spans="1:6" ht="16.5" x14ac:dyDescent="0.25">
      <c r="B7" s="49" t="s">
        <v>137</v>
      </c>
    </row>
    <row r="8" spans="1:6" ht="15.75" x14ac:dyDescent="0.25">
      <c r="B8" s="92" t="s">
        <v>182</v>
      </c>
    </row>
    <row r="9" spans="1:6" ht="13.5" thickBot="1" x14ac:dyDescent="0.25">
      <c r="D9" s="18"/>
      <c r="E9" s="129"/>
    </row>
    <row r="10" spans="1:6" ht="25.9" customHeight="1" thickBot="1" x14ac:dyDescent="0.25">
      <c r="A10" s="23"/>
      <c r="B10" s="165" t="s">
        <v>184</v>
      </c>
      <c r="C10" s="166" t="s">
        <v>70</v>
      </c>
      <c r="D10" s="167" t="s">
        <v>137</v>
      </c>
      <c r="E10" s="167" t="s">
        <v>165</v>
      </c>
      <c r="F10" s="173" t="s">
        <v>352</v>
      </c>
    </row>
    <row r="11" spans="1:6" x14ac:dyDescent="0.2">
      <c r="B11" s="169">
        <v>2971</v>
      </c>
      <c r="C11" s="44" t="s">
        <v>139</v>
      </c>
      <c r="D11" s="185">
        <v>1800</v>
      </c>
      <c r="E11" s="179">
        <v>1800</v>
      </c>
      <c r="F11" s="239">
        <f>E11/D11*100</f>
        <v>100</v>
      </c>
    </row>
    <row r="12" spans="1:6" x14ac:dyDescent="0.2">
      <c r="B12" s="48"/>
      <c r="C12" s="45"/>
      <c r="D12" s="186"/>
      <c r="E12" s="178"/>
      <c r="F12" s="170"/>
    </row>
    <row r="13" spans="1:6" ht="13.5" thickBot="1" x14ac:dyDescent="0.25">
      <c r="B13" s="60"/>
      <c r="C13" s="176"/>
      <c r="D13" s="187"/>
      <c r="E13" s="61"/>
      <c r="F13" s="175"/>
    </row>
    <row r="14" spans="1:6" ht="13.5" thickBot="1" x14ac:dyDescent="0.25">
      <c r="B14" s="171"/>
      <c r="C14" s="35" t="s">
        <v>71</v>
      </c>
      <c r="D14" s="188">
        <f>SUM(D11:D13)</f>
        <v>1800</v>
      </c>
      <c r="E14" s="180">
        <f>SUM(E11:E13)</f>
        <v>1800</v>
      </c>
      <c r="F14" s="472">
        <v>100</v>
      </c>
    </row>
    <row r="17" spans="1:6" ht="13.5" thickBot="1" x14ac:dyDescent="0.25">
      <c r="D17" s="18"/>
      <c r="E17" s="18"/>
    </row>
    <row r="18" spans="1:6" ht="24.75" thickBot="1" x14ac:dyDescent="0.25">
      <c r="A18" s="23"/>
      <c r="B18" s="59" t="s">
        <v>184</v>
      </c>
      <c r="C18" s="37" t="s">
        <v>72</v>
      </c>
      <c r="D18" s="100" t="s">
        <v>137</v>
      </c>
      <c r="E18" s="100" t="s">
        <v>165</v>
      </c>
      <c r="F18" s="173" t="s">
        <v>352</v>
      </c>
    </row>
    <row r="19" spans="1:6" x14ac:dyDescent="0.2">
      <c r="B19" s="169">
        <v>4001</v>
      </c>
      <c r="C19" s="44" t="s">
        <v>77</v>
      </c>
      <c r="D19" s="185">
        <v>280</v>
      </c>
      <c r="E19" s="183">
        <v>240.81</v>
      </c>
      <c r="F19" s="240">
        <f>E19/D19*100</f>
        <v>86.003571428571433</v>
      </c>
    </row>
    <row r="20" spans="1:6" x14ac:dyDescent="0.2">
      <c r="B20" s="48">
        <v>4002</v>
      </c>
      <c r="C20" s="45" t="s">
        <v>86</v>
      </c>
      <c r="D20" s="186">
        <v>700</v>
      </c>
      <c r="E20" s="182">
        <v>700</v>
      </c>
      <c r="F20" s="242">
        <f t="shared" ref="F20:F22" si="0">E20/D20*100</f>
        <v>100</v>
      </c>
    </row>
    <row r="21" spans="1:6" ht="13.5" thickBot="1" x14ac:dyDescent="0.25">
      <c r="B21" s="60">
        <v>4003</v>
      </c>
      <c r="C21" s="176" t="s">
        <v>87</v>
      </c>
      <c r="D21" s="187">
        <v>820</v>
      </c>
      <c r="E21" s="184">
        <v>859.19</v>
      </c>
      <c r="F21" s="243">
        <f t="shared" si="0"/>
        <v>104.77926829268294</v>
      </c>
    </row>
    <row r="22" spans="1:6" ht="13.5" thickBot="1" x14ac:dyDescent="0.25">
      <c r="B22" s="171"/>
      <c r="C22" s="52" t="s">
        <v>73</v>
      </c>
      <c r="D22" s="188">
        <f>SUM(D19:D21)</f>
        <v>1800</v>
      </c>
      <c r="E22" s="34">
        <f>SUM(E19:E21)</f>
        <v>1800</v>
      </c>
      <c r="F22" s="241">
        <f t="shared" si="0"/>
        <v>100</v>
      </c>
    </row>
    <row r="23" spans="1:6" x14ac:dyDescent="0.2">
      <c r="C23" s="62"/>
      <c r="E23" s="31"/>
    </row>
    <row r="24" spans="1:6" x14ac:dyDescent="0.2">
      <c r="C24" s="16"/>
      <c r="D24" s="9"/>
      <c r="E24" s="43"/>
    </row>
    <row r="25" spans="1:6" x14ac:dyDescent="0.2">
      <c r="D25" s="5"/>
      <c r="E25" s="32"/>
    </row>
    <row r="26" spans="1:6" x14ac:dyDescent="0.2">
      <c r="D26" s="31"/>
    </row>
    <row r="27" spans="1:6" x14ac:dyDescent="0.2">
      <c r="D27" s="5"/>
      <c r="E27" s="31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E29"/>
  <sheetViews>
    <sheetView workbookViewId="0">
      <selection activeCell="B6" sqref="B6:E6"/>
    </sheetView>
  </sheetViews>
  <sheetFormatPr defaultRowHeight="12.75" x14ac:dyDescent="0.2"/>
  <cols>
    <col min="2" max="2" width="8.5703125" customWidth="1"/>
    <col min="3" max="3" width="26.7109375" customWidth="1"/>
    <col min="4" max="4" width="17.7109375" customWidth="1"/>
    <col min="5" max="5" width="19.42578125" customWidth="1"/>
  </cols>
  <sheetData>
    <row r="2" spans="2:5" x14ac:dyDescent="0.2">
      <c r="B2" s="20" t="s">
        <v>2</v>
      </c>
      <c r="C2" s="21"/>
      <c r="E2" s="1" t="s">
        <v>90</v>
      </c>
    </row>
    <row r="3" spans="2:5" x14ac:dyDescent="0.2">
      <c r="B3" s="20" t="s">
        <v>67</v>
      </c>
      <c r="C3" s="21"/>
    </row>
    <row r="4" spans="2:5" x14ac:dyDescent="0.2">
      <c r="B4" s="20" t="s">
        <v>68</v>
      </c>
      <c r="C4" s="21"/>
    </row>
    <row r="5" spans="2:5" x14ac:dyDescent="0.2">
      <c r="B5" s="20"/>
      <c r="C5" s="21"/>
    </row>
    <row r="6" spans="2:5" ht="18" x14ac:dyDescent="0.25">
      <c r="B6" s="22"/>
      <c r="C6" s="21"/>
    </row>
    <row r="7" spans="2:5" ht="18" x14ac:dyDescent="0.25">
      <c r="B7" s="22"/>
      <c r="C7" s="21"/>
    </row>
    <row r="8" spans="2:5" ht="15" x14ac:dyDescent="0.25">
      <c r="B8" s="54" t="s">
        <v>117</v>
      </c>
      <c r="C8" s="21"/>
    </row>
    <row r="9" spans="2:5" x14ac:dyDescent="0.2">
      <c r="B9" s="20"/>
      <c r="C9" s="21"/>
    </row>
    <row r="10" spans="2:5" ht="16.5" x14ac:dyDescent="0.25">
      <c r="B10" s="49" t="s">
        <v>93</v>
      </c>
    </row>
    <row r="12" spans="2:5" ht="13.5" thickBot="1" x14ac:dyDescent="0.25">
      <c r="D12" s="18"/>
      <c r="E12" s="18"/>
    </row>
    <row r="13" spans="2:5" ht="23.25" thickBot="1" x14ac:dyDescent="0.25">
      <c r="B13" s="24" t="s">
        <v>69</v>
      </c>
      <c r="C13" s="36" t="s">
        <v>70</v>
      </c>
      <c r="D13" s="50" t="s">
        <v>93</v>
      </c>
      <c r="E13" s="50" t="s">
        <v>93</v>
      </c>
    </row>
    <row r="14" spans="2:5" x14ac:dyDescent="0.2">
      <c r="B14" s="25">
        <v>2968</v>
      </c>
      <c r="C14" s="44" t="s">
        <v>91</v>
      </c>
      <c r="D14" s="51">
        <v>12818.8</v>
      </c>
      <c r="E14" s="51">
        <v>39981.4</v>
      </c>
    </row>
    <row r="15" spans="2:5" x14ac:dyDescent="0.2">
      <c r="B15" s="26"/>
      <c r="C15" s="45"/>
      <c r="D15" s="17"/>
      <c r="E15" s="38"/>
    </row>
    <row r="16" spans="2:5" ht="13.5" thickBot="1" x14ac:dyDescent="0.25">
      <c r="B16" s="27"/>
      <c r="C16" s="46"/>
      <c r="D16" s="33"/>
      <c r="E16" s="39"/>
    </row>
    <row r="17" spans="2:5" ht="13.5" thickBot="1" x14ac:dyDescent="0.25">
      <c r="B17" s="28"/>
      <c r="C17" s="35" t="s">
        <v>71</v>
      </c>
      <c r="D17" s="34">
        <f>SUM(D14:D16)</f>
        <v>12818.8</v>
      </c>
      <c r="E17" s="40">
        <f>SUM(E14:E16)</f>
        <v>39981.4</v>
      </c>
    </row>
    <row r="20" spans="2:5" ht="13.5" thickBot="1" x14ac:dyDescent="0.25">
      <c r="D20" s="18"/>
      <c r="E20" s="18"/>
    </row>
    <row r="21" spans="2:5" ht="23.25" thickBot="1" x14ac:dyDescent="0.25">
      <c r="B21" s="24" t="s">
        <v>69</v>
      </c>
      <c r="C21" s="37" t="s">
        <v>72</v>
      </c>
      <c r="D21" s="50" t="s">
        <v>93</v>
      </c>
      <c r="E21" s="50" t="s">
        <v>93</v>
      </c>
    </row>
    <row r="22" spans="2:5" x14ac:dyDescent="0.2">
      <c r="B22" s="29">
        <v>3701</v>
      </c>
      <c r="C22" s="58" t="s">
        <v>77</v>
      </c>
      <c r="D22" s="41">
        <v>18512</v>
      </c>
      <c r="E22" s="41">
        <v>18512</v>
      </c>
    </row>
    <row r="23" spans="2:5" x14ac:dyDescent="0.2">
      <c r="B23" s="26">
        <v>3702</v>
      </c>
      <c r="C23" s="97" t="s">
        <v>111</v>
      </c>
      <c r="D23" s="42">
        <v>16100</v>
      </c>
      <c r="E23" s="42">
        <v>16100</v>
      </c>
    </row>
    <row r="24" spans="2:5" x14ac:dyDescent="0.2">
      <c r="B24" s="48">
        <v>3703</v>
      </c>
      <c r="C24" s="97" t="s">
        <v>112</v>
      </c>
      <c r="D24" s="42">
        <v>2592.6</v>
      </c>
      <c r="E24" s="42">
        <v>2592.6</v>
      </c>
    </row>
    <row r="25" spans="2:5" ht="13.5" thickBot="1" x14ac:dyDescent="0.25">
      <c r="B25" s="57">
        <v>3704</v>
      </c>
      <c r="C25" s="96" t="s">
        <v>113</v>
      </c>
      <c r="D25" s="98">
        <v>2776.8</v>
      </c>
      <c r="E25" s="98">
        <v>2776.8</v>
      </c>
    </row>
    <row r="26" spans="2:5" ht="13.5" thickBot="1" x14ac:dyDescent="0.25">
      <c r="B26" s="28"/>
      <c r="C26" s="52" t="s">
        <v>73</v>
      </c>
      <c r="D26" s="34">
        <f>SUM(D22:D23)</f>
        <v>34612</v>
      </c>
      <c r="E26" s="47">
        <f>SUM(E22:E25)</f>
        <v>39981.4</v>
      </c>
    </row>
    <row r="27" spans="2:5" x14ac:dyDescent="0.2">
      <c r="B27" s="30"/>
      <c r="C27" s="53"/>
      <c r="E27" s="31"/>
    </row>
    <row r="28" spans="2:5" x14ac:dyDescent="0.2">
      <c r="C28" s="16" t="s">
        <v>74</v>
      </c>
      <c r="D28" s="9">
        <f>D17-D26</f>
        <v>-21793.200000000001</v>
      </c>
      <c r="E28" s="43">
        <f>E17-E26</f>
        <v>0</v>
      </c>
    </row>
    <row r="29" spans="2:5" x14ac:dyDescent="0.2">
      <c r="D29" s="5"/>
      <c r="E29" s="3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15</vt:i4>
      </vt:variant>
      <vt:variant>
        <vt:lpstr>Imenovani obsegi</vt:lpstr>
      </vt:variant>
      <vt:variant>
        <vt:i4>1</vt:i4>
      </vt:variant>
    </vt:vector>
  </HeadingPairs>
  <TitlesOfParts>
    <vt:vector size="16" baseType="lpstr">
      <vt:lpstr>ZDUS</vt:lpstr>
      <vt:lpstr>1-SzS</vt:lpstr>
      <vt:lpstr>2-VPS</vt:lpstr>
      <vt:lpstr>3-DMS</vt:lpstr>
      <vt:lpstr>4-RŠK</vt:lpstr>
      <vt:lpstr>5-FIHO-ZDUS</vt:lpstr>
      <vt:lpstr>33-AVP</vt:lpstr>
      <vt:lpstr>List1</vt:lpstr>
      <vt:lpstr>List2</vt:lpstr>
      <vt:lpstr>List3</vt:lpstr>
      <vt:lpstr>38_S2G</vt:lpstr>
      <vt:lpstr>39-TwistedEDU</vt:lpstr>
      <vt:lpstr>47-E-oskrba</vt:lpstr>
      <vt:lpstr>49-DigiSvet</vt:lpstr>
      <vt:lpstr>ZORR</vt:lpstr>
      <vt:lpstr>ZDUS!Področje_tiskanja</vt:lpstr>
    </vt:vector>
  </TitlesOfParts>
  <Company>ZDUS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ZDUS</dc:creator>
  <cp:lastModifiedBy>Racunovodja</cp:lastModifiedBy>
  <cp:lastPrinted>2025-03-25T15:05:07Z</cp:lastPrinted>
  <dcterms:created xsi:type="dcterms:W3CDTF">2005-02-11T08:05:09Z</dcterms:created>
  <dcterms:modified xsi:type="dcterms:W3CDTF">2025-09-11T11:17:36Z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ntativeReviewCycleID">
    <vt:i4>225207335</vt:i4>
  </property>
  <property fmtid="{D5CDD505-2E9C-101B-9397-08002B2CF9AE}" pid="3" name="_ReviewCycleID">
    <vt:i4>225207335</vt:i4>
  </property>
  <property fmtid="{D5CDD505-2E9C-101B-9397-08002B2CF9AE}" pid="4" name="_NewReviewCycle">
    <vt:lpwstr/>
  </property>
  <property fmtid="{D5CDD505-2E9C-101B-9397-08002B2CF9AE}" pid="5" name="_EmailEntryID">
    <vt:lpwstr>000000008A73701BFAF2474491A37236E930F257A4E37000</vt:lpwstr>
  </property>
  <property fmtid="{D5CDD505-2E9C-101B-9397-08002B2CF9AE}" pid="6" name="_EmailStoreID0">
    <vt:lpwstr>0000000038A1BB1005E5101AA1BB08002B2A56C200006D737073742E646C6C00000000004E495441F9BFB80100AA0037D96E0000000043003A005C00550073006500720073005C00540061006A006E0069006101740076006F005C0044006F00630075006D0065006E00740073005C004F00750074006C006F006F006B006F0</vt:lpwstr>
  </property>
  <property fmtid="{D5CDD505-2E9C-101B-9397-08002B2CF9AE}" pid="7" name="_EmailStoreID1">
    <vt:lpwstr>07600650020006400610074006F00740065006B0065005C004F00750074006C006F006F006B002E007000730074000000</vt:lpwstr>
  </property>
</Properties>
</file>